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11640" activeTab="2"/>
  </bookViews>
  <sheets>
    <sheet name="War Risk" sheetId="1" r:id="rId1"/>
    <sheet name="T&amp;M1" sheetId="2" r:id="rId2"/>
    <sheet name="Sheet1" sheetId="3" r:id="rId3"/>
  </sheets>
  <externalReferences>
    <externalReference r:id="rId4"/>
    <externalReference r:id="rId5"/>
    <externalReference r:id="rId6"/>
  </externalReferences>
  <definedNames>
    <definedName name="_Fee2">'[1]Base RateBuildUp'!#REF!</definedName>
    <definedName name="_Fee3">'[1]Opt 1 RateBuildUp'!#REF!</definedName>
    <definedName name="_Fee4">'[1]Opt 2 RateBuildUp'!#REF!</definedName>
    <definedName name="_xlnm._FilterDatabase" localSheetId="1" hidden="1">'T&amp;M1'!$AP$29:$AQ$29</definedName>
    <definedName name="DL">[2]InputSheet!$B$173:$G$1024</definedName>
    <definedName name="Fee">'[1]Phase-In RateBuildUp'!#REF!</definedName>
    <definedName name="IndDesc">[1]InputSheet!$B$23:$B$30</definedName>
    <definedName name="Indirects">[2]Indirects!$AL$7:$AN$1071</definedName>
    <definedName name="IndYrs">[1]InputSheet!$C$21:$K$21</definedName>
    <definedName name="Input_Sheet">[3]InputSheet!$A$11:$J$170</definedName>
    <definedName name="POP">[1]InputSheet!$B$11:$D$16</definedName>
    <definedName name="_xlnm.Print_Area" localSheetId="1">'T&amp;M1'!$B$1:$Z$97</definedName>
    <definedName name="_xlnm.Print_Area">#REF!</definedName>
    <definedName name="_xlnm.Print_Titles" localSheetId="1">'T&amp;M1'!$A:$I,'T&amp;M1'!$1:$30</definedName>
    <definedName name="RATEBOOK">#REF!</definedName>
    <definedName name="Z_81186096_D7BA_4F5C_9DAA_F5D1FADD2876_.wvu.Cols" localSheetId="1" hidden="1">'T&amp;M1'!$G:$H,'T&amp;M1'!$R:$R,'T&amp;M1'!#REF!,'T&amp;M1'!$Z:$Z</definedName>
    <definedName name="Z_81186096_D7BA_4F5C_9DAA_F5D1FADD2876_.wvu.PrintArea" localSheetId="1" hidden="1">'T&amp;M1'!$A$1:$Z$123</definedName>
    <definedName name="Z_81186096_D7BA_4F5C_9DAA_F5D1FADD2876_.wvu.PrintTitles" localSheetId="1" hidden="1">'T&amp;M1'!$1:$31</definedName>
  </definedNames>
  <calcPr calcId="125725"/>
</workbook>
</file>

<file path=xl/calcChain.xml><?xml version="1.0" encoding="utf-8"?>
<calcChain xmlns="http://schemas.openxmlformats.org/spreadsheetml/2006/main">
  <c r="AA29" i="2"/>
  <c r="G33"/>
  <c r="C1" i="1"/>
  <c r="D1"/>
  <c r="B4"/>
  <c r="B1"/>
  <c r="X1" i="2"/>
  <c r="X3"/>
  <c r="R9" s="1"/>
  <c r="K5"/>
  <c r="L5"/>
  <c r="M5"/>
  <c r="N5"/>
  <c r="O5"/>
  <c r="Q5"/>
  <c r="R5"/>
  <c r="S5"/>
  <c r="T5"/>
  <c r="V5"/>
  <c r="I6"/>
  <c r="J6"/>
  <c r="K6"/>
  <c r="K37" s="1"/>
  <c r="AB37" s="1"/>
  <c r="L6"/>
  <c r="M6"/>
  <c r="N6"/>
  <c r="O6"/>
  <c r="P6"/>
  <c r="P34" s="1"/>
  <c r="Q6"/>
  <c r="R6"/>
  <c r="S6"/>
  <c r="S38" s="1"/>
  <c r="AF38" s="1"/>
  <c r="T6"/>
  <c r="V6"/>
  <c r="T7"/>
  <c r="AC7"/>
  <c r="AG7"/>
  <c r="AB8"/>
  <c r="AC8"/>
  <c r="AD8"/>
  <c r="AE8"/>
  <c r="AF8"/>
  <c r="AG8"/>
  <c r="AH8"/>
  <c r="AI8"/>
  <c r="AA9"/>
  <c r="AB9"/>
  <c r="AC9"/>
  <c r="AD9"/>
  <c r="AF9"/>
  <c r="AG9"/>
  <c r="AI9"/>
  <c r="G10"/>
  <c r="V10"/>
  <c r="AA10"/>
  <c r="AB10"/>
  <c r="AC10"/>
  <c r="AD10"/>
  <c r="AE10"/>
  <c r="AF10"/>
  <c r="AG10"/>
  <c r="AI10"/>
  <c r="G11"/>
  <c r="H11"/>
  <c r="V11"/>
  <c r="V12"/>
  <c r="AA11"/>
  <c r="AB11"/>
  <c r="AC11"/>
  <c r="AD11"/>
  <c r="AE11"/>
  <c r="AF11"/>
  <c r="AG11"/>
  <c r="AI11"/>
  <c r="G12"/>
  <c r="H12"/>
  <c r="AA12"/>
  <c r="AB12"/>
  <c r="AC12"/>
  <c r="AD12"/>
  <c r="AE12"/>
  <c r="AF12"/>
  <c r="AG12"/>
  <c r="G13"/>
  <c r="G14" s="1"/>
  <c r="H13"/>
  <c r="AA13"/>
  <c r="AB13"/>
  <c r="AC13"/>
  <c r="AD13"/>
  <c r="AE13"/>
  <c r="AF13"/>
  <c r="AG13"/>
  <c r="H14"/>
  <c r="P14"/>
  <c r="AA14"/>
  <c r="AB14"/>
  <c r="AC14"/>
  <c r="AD14"/>
  <c r="AE14"/>
  <c r="AF14"/>
  <c r="AG14"/>
  <c r="H15"/>
  <c r="AA15"/>
  <c r="AB15"/>
  <c r="AC15"/>
  <c r="AD15"/>
  <c r="AE15"/>
  <c r="AF15"/>
  <c r="AG15"/>
  <c r="G16"/>
  <c r="H16"/>
  <c r="P16"/>
  <c r="AA16"/>
  <c r="AB16"/>
  <c r="AC16"/>
  <c r="AD16"/>
  <c r="AE16"/>
  <c r="AF16"/>
  <c r="AG16"/>
  <c r="G17"/>
  <c r="H17"/>
  <c r="AA17"/>
  <c r="AB17"/>
  <c r="AC17"/>
  <c r="AD17"/>
  <c r="AE17"/>
  <c r="AF17"/>
  <c r="AG17"/>
  <c r="G18"/>
  <c r="H18"/>
  <c r="AA18"/>
  <c r="AB18"/>
  <c r="AC18"/>
  <c r="AD18"/>
  <c r="AE18"/>
  <c r="AF18"/>
  <c r="AG18"/>
  <c r="G19"/>
  <c r="H19"/>
  <c r="AA19"/>
  <c r="AB19"/>
  <c r="AC19"/>
  <c r="AD19"/>
  <c r="AE19"/>
  <c r="AF19"/>
  <c r="AG19"/>
  <c r="G20"/>
  <c r="H20"/>
  <c r="AA20"/>
  <c r="AB20"/>
  <c r="AC20"/>
  <c r="AD20"/>
  <c r="AE20"/>
  <c r="AF20"/>
  <c r="AG20"/>
  <c r="G21"/>
  <c r="AA21"/>
  <c r="AB21"/>
  <c r="AC21"/>
  <c r="AD21"/>
  <c r="AE21"/>
  <c r="AF21"/>
  <c r="AG21"/>
  <c r="G22"/>
  <c r="H22"/>
  <c r="K22"/>
  <c r="AB22"/>
  <c r="AA22"/>
  <c r="AC22"/>
  <c r="AD22"/>
  <c r="AE22"/>
  <c r="AF22"/>
  <c r="AG22"/>
  <c r="G23"/>
  <c r="H23"/>
  <c r="AA23"/>
  <c r="AB23"/>
  <c r="AC23"/>
  <c r="AD23"/>
  <c r="AE23"/>
  <c r="AF23"/>
  <c r="AG23"/>
  <c r="AI23"/>
  <c r="G24"/>
  <c r="H24"/>
  <c r="O24"/>
  <c r="AA24"/>
  <c r="AB24"/>
  <c r="AC24"/>
  <c r="AD24"/>
  <c r="AE24"/>
  <c r="AF24"/>
  <c r="AG24"/>
  <c r="AI24"/>
  <c r="K26"/>
  <c r="N26"/>
  <c r="O26"/>
  <c r="T26"/>
  <c r="V26"/>
  <c r="P32"/>
  <c r="I30"/>
  <c r="N30"/>
  <c r="O30"/>
  <c r="AD30" s="1"/>
  <c r="P30"/>
  <c r="Q30"/>
  <c r="R30"/>
  <c r="S30"/>
  <c r="AF30"/>
  <c r="T30"/>
  <c r="U30"/>
  <c r="V30"/>
  <c r="AC30"/>
  <c r="AE30"/>
  <c r="AG30"/>
  <c r="AI30"/>
  <c r="G32"/>
  <c r="A34"/>
  <c r="G34"/>
  <c r="A35"/>
  <c r="G35"/>
  <c r="AQ35"/>
  <c r="AP53"/>
  <c r="AQ53"/>
  <c r="AP54"/>
  <c r="AQ54"/>
  <c r="X55"/>
  <c r="X97" s="1"/>
  <c r="AP55"/>
  <c r="AP56"/>
  <c r="AQ56"/>
  <c r="AP57"/>
  <c r="AQ57"/>
  <c r="AQ73"/>
  <c r="AQ74"/>
  <c r="AP92"/>
  <c r="AQ92"/>
  <c r="AP93"/>
  <c r="AQ93"/>
  <c r="AP94"/>
  <c r="AP95"/>
  <c r="AQ95"/>
  <c r="AP96"/>
  <c r="AQ96"/>
  <c r="AP97"/>
  <c r="AP98"/>
  <c r="AQ98"/>
  <c r="AP99"/>
  <c r="AQ99"/>
  <c r="AP100"/>
  <c r="AQ100"/>
  <c r="X101"/>
  <c r="X102"/>
  <c r="V102" s="1"/>
  <c r="X103"/>
  <c r="T103" s="1"/>
  <c r="X104"/>
  <c r="T104" s="1"/>
  <c r="X105"/>
  <c r="T105" s="1"/>
  <c r="X106"/>
  <c r="T106" s="1"/>
  <c r="X107"/>
  <c r="T107" s="1"/>
  <c r="X108"/>
  <c r="T108" s="1"/>
  <c r="X109"/>
  <c r="T109" s="1"/>
  <c r="X110"/>
  <c r="V110" s="1"/>
  <c r="X111"/>
  <c r="T111" s="1"/>
  <c r="X112"/>
  <c r="T112" s="1"/>
  <c r="X113"/>
  <c r="V113" s="1"/>
  <c r="X114"/>
  <c r="T114" s="1"/>
  <c r="X115"/>
  <c r="T115" s="1"/>
  <c r="X116"/>
  <c r="T116" s="1"/>
  <c r="X117"/>
  <c r="V117" s="1"/>
  <c r="X118"/>
  <c r="T118" s="1"/>
  <c r="X119"/>
  <c r="T119" s="1"/>
  <c r="X120"/>
  <c r="T120" s="1"/>
  <c r="X121"/>
  <c r="T121" s="1"/>
  <c r="Y102"/>
  <c r="U102" s="1"/>
  <c r="Y103"/>
  <c r="W103" s="1"/>
  <c r="AP103" s="1"/>
  <c r="Y104"/>
  <c r="U104"/>
  <c r="Y105"/>
  <c r="AQ105"/>
  <c r="Y106"/>
  <c r="U106"/>
  <c r="Y107"/>
  <c r="U107"/>
  <c r="Y108"/>
  <c r="U108"/>
  <c r="Y109"/>
  <c r="U109"/>
  <c r="Y110"/>
  <c r="U110"/>
  <c r="Y111"/>
  <c r="U111"/>
  <c r="Y112"/>
  <c r="U112"/>
  <c r="Y113"/>
  <c r="U113"/>
  <c r="Y114"/>
  <c r="W114"/>
  <c r="AP114" s="1"/>
  <c r="Y115"/>
  <c r="U115" s="1"/>
  <c r="Y116"/>
  <c r="U116" s="1"/>
  <c r="Y117"/>
  <c r="U117" s="1"/>
  <c r="Y118"/>
  <c r="W118" s="1"/>
  <c r="AP118" s="1"/>
  <c r="Y119"/>
  <c r="U119"/>
  <c r="Y120"/>
  <c r="U120"/>
  <c r="Y121"/>
  <c r="U121"/>
  <c r="AA101"/>
  <c r="AP101"/>
  <c r="T102"/>
  <c r="AA102"/>
  <c r="AB102"/>
  <c r="AC102"/>
  <c r="AD102"/>
  <c r="AE102"/>
  <c r="AF102"/>
  <c r="AG102"/>
  <c r="AH102"/>
  <c r="AI102"/>
  <c r="AJ102"/>
  <c r="U103"/>
  <c r="AA103"/>
  <c r="AB103"/>
  <c r="AC103"/>
  <c r="AD103"/>
  <c r="AE103"/>
  <c r="AF103"/>
  <c r="AG103"/>
  <c r="AH103"/>
  <c r="AI103"/>
  <c r="AJ103"/>
  <c r="AA104"/>
  <c r="AB104"/>
  <c r="AC104"/>
  <c r="AD104"/>
  <c r="AE104"/>
  <c r="AF104"/>
  <c r="AG104"/>
  <c r="AH104"/>
  <c r="AI104"/>
  <c r="AJ104"/>
  <c r="AQ104"/>
  <c r="U105"/>
  <c r="W105"/>
  <c r="AP105"/>
  <c r="AA105"/>
  <c r="AB105"/>
  <c r="AC105"/>
  <c r="AD105"/>
  <c r="AE105"/>
  <c r="AF105"/>
  <c r="AG105"/>
  <c r="AH105"/>
  <c r="AI105"/>
  <c r="AJ105"/>
  <c r="AL105" s="1"/>
  <c r="AA106"/>
  <c r="AB106"/>
  <c r="AC106"/>
  <c r="AD106"/>
  <c r="AE106"/>
  <c r="AF106"/>
  <c r="AG106"/>
  <c r="AH106"/>
  <c r="AI106"/>
  <c r="AJ106"/>
  <c r="W107"/>
  <c r="AP107" s="1"/>
  <c r="AA107"/>
  <c r="AB107"/>
  <c r="AC107"/>
  <c r="AD107"/>
  <c r="AE107"/>
  <c r="AF107"/>
  <c r="AG107"/>
  <c r="AH107"/>
  <c r="AI107"/>
  <c r="AJ107"/>
  <c r="AL107"/>
  <c r="AA108"/>
  <c r="AB108"/>
  <c r="AC108"/>
  <c r="AD108"/>
  <c r="AE108"/>
  <c r="AF108"/>
  <c r="AG108"/>
  <c r="AH108"/>
  <c r="AI108"/>
  <c r="AJ108"/>
  <c r="AA109"/>
  <c r="AB109"/>
  <c r="AC109"/>
  <c r="AD109"/>
  <c r="AE109"/>
  <c r="AF109"/>
  <c r="AG109"/>
  <c r="AH109"/>
  <c r="AI109"/>
  <c r="AJ109"/>
  <c r="AA110"/>
  <c r="AB110"/>
  <c r="AC110"/>
  <c r="AD110"/>
  <c r="AE110"/>
  <c r="AF110"/>
  <c r="AG110"/>
  <c r="AH110"/>
  <c r="AI110"/>
  <c r="AJ110"/>
  <c r="W111"/>
  <c r="AP111"/>
  <c r="AA111"/>
  <c r="AB111"/>
  <c r="AC111"/>
  <c r="AD111"/>
  <c r="AE111"/>
  <c r="AF111"/>
  <c r="AG111"/>
  <c r="AH111"/>
  <c r="AI111"/>
  <c r="AJ111"/>
  <c r="AL111" s="1"/>
  <c r="AQ111"/>
  <c r="AA112"/>
  <c r="AB112"/>
  <c r="AC112"/>
  <c r="AD112"/>
  <c r="AE112"/>
  <c r="AF112"/>
  <c r="AG112"/>
  <c r="AH112"/>
  <c r="AI112"/>
  <c r="AJ112"/>
  <c r="AQ112"/>
  <c r="AA113"/>
  <c r="AB113"/>
  <c r="AC113"/>
  <c r="AD113"/>
  <c r="AE113"/>
  <c r="AF113"/>
  <c r="AG113"/>
  <c r="AH113"/>
  <c r="AI113"/>
  <c r="AJ113"/>
  <c r="AQ113"/>
  <c r="AA114"/>
  <c r="AB114"/>
  <c r="AC114"/>
  <c r="AD114"/>
  <c r="AE114"/>
  <c r="AF114"/>
  <c r="AG114"/>
  <c r="AH114"/>
  <c r="AI114"/>
  <c r="AJ114"/>
  <c r="W115"/>
  <c r="AP115"/>
  <c r="AA115"/>
  <c r="AB115"/>
  <c r="AC115"/>
  <c r="AD115"/>
  <c r="AE115"/>
  <c r="AF115"/>
  <c r="AG115"/>
  <c r="AH115"/>
  <c r="AI115"/>
  <c r="AJ115"/>
  <c r="AL115" s="1"/>
  <c r="AA116"/>
  <c r="AB116"/>
  <c r="AC116"/>
  <c r="AD116"/>
  <c r="AE116"/>
  <c r="AF116"/>
  <c r="AG116"/>
  <c r="AH116"/>
  <c r="AI116"/>
  <c r="AJ116"/>
  <c r="T117"/>
  <c r="AA117"/>
  <c r="AB117"/>
  <c r="AC117"/>
  <c r="AD117"/>
  <c r="AE117"/>
  <c r="AF117"/>
  <c r="AG117"/>
  <c r="AH117"/>
  <c r="AI117"/>
  <c r="AJ117"/>
  <c r="AQ117"/>
  <c r="AA118"/>
  <c r="AB118"/>
  <c r="AC118"/>
  <c r="AD118"/>
  <c r="AE118"/>
  <c r="AF118"/>
  <c r="AG118"/>
  <c r="AH118"/>
  <c r="AI118"/>
  <c r="AJ118"/>
  <c r="W119"/>
  <c r="AP119" s="1"/>
  <c r="AA119"/>
  <c r="AB119"/>
  <c r="AC119"/>
  <c r="AD119"/>
  <c r="AE119"/>
  <c r="AF119"/>
  <c r="AG119"/>
  <c r="AH119"/>
  <c r="AI119"/>
  <c r="AJ119"/>
  <c r="AL119"/>
  <c r="AQ119"/>
  <c r="AA120"/>
  <c r="AB120"/>
  <c r="AC120"/>
  <c r="AD120"/>
  <c r="AE120"/>
  <c r="AF120"/>
  <c r="AG120"/>
  <c r="AH120"/>
  <c r="AI120"/>
  <c r="AJ120"/>
  <c r="V121"/>
  <c r="AA121"/>
  <c r="AB121"/>
  <c r="AC121"/>
  <c r="AD121"/>
  <c r="AE121"/>
  <c r="AF121"/>
  <c r="AG121"/>
  <c r="AH121"/>
  <c r="AI121"/>
  <c r="AJ121"/>
  <c r="AQ121"/>
  <c r="AP122"/>
  <c r="AP123"/>
  <c r="AQ123"/>
  <c r="A36"/>
  <c r="G36"/>
  <c r="A37"/>
  <c r="A38"/>
  <c r="A39" s="1"/>
  <c r="G37"/>
  <c r="T113"/>
  <c r="V109"/>
  <c r="AQ120"/>
  <c r="T110"/>
  <c r="V106"/>
  <c r="AL121"/>
  <c r="W121"/>
  <c r="AP121"/>
  <c r="AL117"/>
  <c r="W117"/>
  <c r="AP117" s="1"/>
  <c r="AQ115"/>
  <c r="AL113"/>
  <c r="W113"/>
  <c r="AP113" s="1"/>
  <c r="AQ109"/>
  <c r="AL109"/>
  <c r="W109"/>
  <c r="AP109" s="1"/>
  <c r="AQ107"/>
  <c r="V105"/>
  <c r="AQ103"/>
  <c r="AL103"/>
  <c r="AQ116"/>
  <c r="AL108"/>
  <c r="W108"/>
  <c r="AP108" s="1"/>
  <c r="AL120"/>
  <c r="W120"/>
  <c r="AP120"/>
  <c r="U118"/>
  <c r="AL116"/>
  <c r="W116"/>
  <c r="AP116"/>
  <c r="U114"/>
  <c r="AL112"/>
  <c r="W112"/>
  <c r="AP112"/>
  <c r="AQ108"/>
  <c r="AL104"/>
  <c r="W104"/>
  <c r="AP104"/>
  <c r="V112"/>
  <c r="AQ118"/>
  <c r="AL118"/>
  <c r="AQ114"/>
  <c r="AL114"/>
  <c r="AQ110"/>
  <c r="AL110"/>
  <c r="W110"/>
  <c r="AP110" s="1"/>
  <c r="AQ106"/>
  <c r="AL106"/>
  <c r="W106"/>
  <c r="AP106" s="1"/>
  <c r="AQ102"/>
  <c r="AL102"/>
  <c r="W102"/>
  <c r="AP102" s="1"/>
  <c r="V104"/>
  <c r="V120"/>
  <c r="K48"/>
  <c r="AB48" s="1"/>
  <c r="K66"/>
  <c r="R66" s="1"/>
  <c r="AE66" s="1"/>
  <c r="K78"/>
  <c r="AB78" s="1"/>
  <c r="V119"/>
  <c r="V115"/>
  <c r="V111"/>
  <c r="V107"/>
  <c r="V103"/>
  <c r="K59"/>
  <c r="P36"/>
  <c r="K76"/>
  <c r="AB76" s="1"/>
  <c r="K77"/>
  <c r="AB77" s="1"/>
  <c r="K72"/>
  <c r="X122"/>
  <c r="T101" s="1"/>
  <c r="V108"/>
  <c r="V116"/>
  <c r="V118"/>
  <c r="V114"/>
  <c r="AI12"/>
  <c r="V13"/>
  <c r="AE37"/>
  <c r="AI13"/>
  <c r="V14"/>
  <c r="AI14"/>
  <c r="V15"/>
  <c r="V16" s="1"/>
  <c r="AI16" s="1"/>
  <c r="AI15"/>
  <c r="V17"/>
  <c r="V18" s="1"/>
  <c r="V19" s="1"/>
  <c r="AI17"/>
  <c r="AI18"/>
  <c r="AI19"/>
  <c r="V20"/>
  <c r="V21" s="1"/>
  <c r="AI20"/>
  <c r="K51" l="1"/>
  <c r="R51" s="1"/>
  <c r="AE51" s="1"/>
  <c r="K70"/>
  <c r="K46"/>
  <c r="S34"/>
  <c r="AF34" s="1"/>
  <c r="K69"/>
  <c r="N69" s="1"/>
  <c r="K41"/>
  <c r="S41" s="1"/>
  <c r="AF41" s="1"/>
  <c r="S35"/>
  <c r="AF35" s="1"/>
  <c r="K73"/>
  <c r="AB73" s="1"/>
  <c r="K36"/>
  <c r="N77"/>
  <c r="AC77" s="1"/>
  <c r="N78"/>
  <c r="AC78" s="1"/>
  <c r="S72"/>
  <c r="AF72" s="1"/>
  <c r="K89"/>
  <c r="AB89" s="1"/>
  <c r="K71"/>
  <c r="N71" s="1"/>
  <c r="AC71" s="1"/>
  <c r="K34"/>
  <c r="AB34" s="1"/>
  <c r="K81"/>
  <c r="AB81" s="1"/>
  <c r="K35"/>
  <c r="AB35" s="1"/>
  <c r="K65"/>
  <c r="N65" s="1"/>
  <c r="K39"/>
  <c r="AB39" s="1"/>
  <c r="K90"/>
  <c r="K91"/>
  <c r="K44"/>
  <c r="S44" s="1"/>
  <c r="AF44" s="1"/>
  <c r="K58"/>
  <c r="N58" s="1"/>
  <c r="AC58" s="1"/>
  <c r="K86"/>
  <c r="K60"/>
  <c r="N60" s="1"/>
  <c r="AC60" s="1"/>
  <c r="K64"/>
  <c r="K82"/>
  <c r="AB41"/>
  <c r="AB69"/>
  <c r="N76"/>
  <c r="AC76" s="1"/>
  <c r="AB72"/>
  <c r="AB71"/>
  <c r="N72"/>
  <c r="AC72" s="1"/>
  <c r="N70"/>
  <c r="AC70" s="1"/>
  <c r="S77"/>
  <c r="AF77" s="1"/>
  <c r="AB66"/>
  <c r="N66"/>
  <c r="K47"/>
  <c r="R47" s="1"/>
  <c r="AE47" s="1"/>
  <c r="K88"/>
  <c r="S88" s="1"/>
  <c r="AF88" s="1"/>
  <c r="K45"/>
  <c r="AB45" s="1"/>
  <c r="K85"/>
  <c r="S85" s="1"/>
  <c r="AF85" s="1"/>
  <c r="K50"/>
  <c r="N50" s="1"/>
  <c r="AC50" s="1"/>
  <c r="K42"/>
  <c r="S42" s="1"/>
  <c r="AF42" s="1"/>
  <c r="P38"/>
  <c r="K83"/>
  <c r="K79"/>
  <c r="S79" s="1"/>
  <c r="AF79" s="1"/>
  <c r="K38"/>
  <c r="M38" s="1"/>
  <c r="K61"/>
  <c r="R61" s="1"/>
  <c r="AE61" s="1"/>
  <c r="K63"/>
  <c r="R63" s="1"/>
  <c r="AE63" s="1"/>
  <c r="K67"/>
  <c r="R67" s="1"/>
  <c r="AE67" s="1"/>
  <c r="K43"/>
  <c r="K75"/>
  <c r="K33"/>
  <c r="M33" s="1"/>
  <c r="K52"/>
  <c r="AB52" s="1"/>
  <c r="K80"/>
  <c r="R80" s="1"/>
  <c r="AE80" s="1"/>
  <c r="K32"/>
  <c r="M32" s="1"/>
  <c r="K62"/>
  <c r="N62" s="1"/>
  <c r="K49"/>
  <c r="R49" s="1"/>
  <c r="AE49" s="1"/>
  <c r="K40"/>
  <c r="S40" s="1"/>
  <c r="AF40" s="1"/>
  <c r="K74"/>
  <c r="R74" s="1"/>
  <c r="AE74" s="1"/>
  <c r="K68"/>
  <c r="K84"/>
  <c r="K87"/>
  <c r="R87" s="1"/>
  <c r="AE87" s="1"/>
  <c r="P37"/>
  <c r="P33"/>
  <c r="P35"/>
  <c r="O65"/>
  <c r="AC65"/>
  <c r="N59"/>
  <c r="S59"/>
  <c r="AF59" s="1"/>
  <c r="R59"/>
  <c r="AE59" s="1"/>
  <c r="AB59"/>
  <c r="S65"/>
  <c r="AF65" s="1"/>
  <c r="R65"/>
  <c r="AE65" s="1"/>
  <c r="R44"/>
  <c r="AE44" s="1"/>
  <c r="AB58"/>
  <c r="R32"/>
  <c r="AE32" s="1"/>
  <c r="R33"/>
  <c r="AE33" s="1"/>
  <c r="R38"/>
  <c r="AE38" s="1"/>
  <c r="R36"/>
  <c r="AE36" s="1"/>
  <c r="R72"/>
  <c r="AE72" s="1"/>
  <c r="R71"/>
  <c r="AE71" s="1"/>
  <c r="R69"/>
  <c r="AE69" s="1"/>
  <c r="O76"/>
  <c r="O77"/>
  <c r="O58"/>
  <c r="AB88"/>
  <c r="R81"/>
  <c r="AE81" s="1"/>
  <c r="N81"/>
  <c r="AC81" s="1"/>
  <c r="N73"/>
  <c r="S73"/>
  <c r="AF73" s="1"/>
  <c r="O73"/>
  <c r="R73"/>
  <c r="AE73" s="1"/>
  <c r="N87"/>
  <c r="AC87" s="1"/>
  <c r="L37"/>
  <c r="S51"/>
  <c r="AF51" s="1"/>
  <c r="AB51"/>
  <c r="R89"/>
  <c r="AE89" s="1"/>
  <c r="S89"/>
  <c r="AF89" s="1"/>
  <c r="O71"/>
  <c r="AB50"/>
  <c r="AB42"/>
  <c r="L38"/>
  <c r="Q38" s="1"/>
  <c r="S90"/>
  <c r="AF90" s="1"/>
  <c r="AB90"/>
  <c r="N90"/>
  <c r="R41"/>
  <c r="AE41" s="1"/>
  <c r="N41"/>
  <c r="AC41" s="1"/>
  <c r="S62"/>
  <c r="AF62" s="1"/>
  <c r="N49"/>
  <c r="AC49" s="1"/>
  <c r="S60"/>
  <c r="AF60" s="1"/>
  <c r="R48"/>
  <c r="AE48" s="1"/>
  <c r="S48"/>
  <c r="AF48" s="1"/>
  <c r="N48"/>
  <c r="S33"/>
  <c r="AF33" s="1"/>
  <c r="S32"/>
  <c r="AF32" s="1"/>
  <c r="S37"/>
  <c r="AF37" s="1"/>
  <c r="S36"/>
  <c r="AF36" s="1"/>
  <c r="S91"/>
  <c r="AF91" s="1"/>
  <c r="S78"/>
  <c r="AF78" s="1"/>
  <c r="S68"/>
  <c r="AF68" s="1"/>
  <c r="S71"/>
  <c r="AF71" s="1"/>
  <c r="S70"/>
  <c r="AF70" s="1"/>
  <c r="S76"/>
  <c r="AF76" s="1"/>
  <c r="O60"/>
  <c r="AD60" s="1"/>
  <c r="M35"/>
  <c r="N88"/>
  <c r="AC88" s="1"/>
  <c r="AB65"/>
  <c r="S81"/>
  <c r="AF81" s="1"/>
  <c r="R78"/>
  <c r="AE78" s="1"/>
  <c r="R90"/>
  <c r="AE90" s="1"/>
  <c r="R58"/>
  <c r="AE58" s="1"/>
  <c r="R86"/>
  <c r="AE86" s="1"/>
  <c r="R88"/>
  <c r="AE88" s="1"/>
  <c r="R75"/>
  <c r="AE75" s="1"/>
  <c r="S87"/>
  <c r="AF87" s="1"/>
  <c r="R84"/>
  <c r="AE84" s="1"/>
  <c r="AB44"/>
  <c r="R64"/>
  <c r="AE64" s="1"/>
  <c r="R76"/>
  <c r="AE76" s="1"/>
  <c r="M37"/>
  <c r="R91"/>
  <c r="AE91" s="1"/>
  <c r="R35"/>
  <c r="AE35" s="1"/>
  <c r="R77"/>
  <c r="AE77" s="1"/>
  <c r="R43"/>
  <c r="AE43" s="1"/>
  <c r="S80"/>
  <c r="AF80" s="1"/>
  <c r="S66"/>
  <c r="AF66" s="1"/>
  <c r="R40"/>
  <c r="AE40" s="1"/>
  <c r="V22"/>
  <c r="AI22" s="1"/>
  <c r="AI21"/>
  <c r="AC69"/>
  <c r="A40"/>
  <c r="G39"/>
  <c r="AD77"/>
  <c r="AE9"/>
  <c r="R34"/>
  <c r="S45"/>
  <c r="AF45" s="1"/>
  <c r="G38"/>
  <c r="N38" l="1"/>
  <c r="AC38" s="1"/>
  <c r="R45"/>
  <c r="AE45" s="1"/>
  <c r="N44"/>
  <c r="AC44" s="1"/>
  <c r="L36"/>
  <c r="AB36"/>
  <c r="AB46"/>
  <c r="S46"/>
  <c r="AF46" s="1"/>
  <c r="R70"/>
  <c r="AE70" s="1"/>
  <c r="AB70"/>
  <c r="O69"/>
  <c r="M36"/>
  <c r="R85"/>
  <c r="AE85" s="1"/>
  <c r="S58"/>
  <c r="AF58" s="1"/>
  <c r="R42"/>
  <c r="AE42" s="1"/>
  <c r="S69"/>
  <c r="AF69" s="1"/>
  <c r="AB60"/>
  <c r="R60"/>
  <c r="AE60" s="1"/>
  <c r="AB38"/>
  <c r="N42"/>
  <c r="O42" s="1"/>
  <c r="AD42" s="1"/>
  <c r="N89"/>
  <c r="AC89" s="1"/>
  <c r="N51"/>
  <c r="AC51" s="1"/>
  <c r="O78"/>
  <c r="R46"/>
  <c r="AE46" s="1"/>
  <c r="R39"/>
  <c r="AE39" s="1"/>
  <c r="N46"/>
  <c r="O46" s="1"/>
  <c r="AD46" s="1"/>
  <c r="L35"/>
  <c r="O87"/>
  <c r="AD87" s="1"/>
  <c r="AB87"/>
  <c r="R82"/>
  <c r="AE82" s="1"/>
  <c r="N82"/>
  <c r="S82"/>
  <c r="AF82" s="1"/>
  <c r="AB82"/>
  <c r="N91"/>
  <c r="AB91"/>
  <c r="S39"/>
  <c r="AF39" s="1"/>
  <c r="N39"/>
  <c r="M34"/>
  <c r="L34"/>
  <c r="S64"/>
  <c r="AF64" s="1"/>
  <c r="N64"/>
  <c r="AB64"/>
  <c r="N86"/>
  <c r="S86"/>
  <c r="AF86" s="1"/>
  <c r="AB86"/>
  <c r="AC42"/>
  <c r="S61"/>
  <c r="AF61" s="1"/>
  <c r="O72"/>
  <c r="T72" s="1"/>
  <c r="AG72" s="1"/>
  <c r="S49"/>
  <c r="AF49" s="1"/>
  <c r="N52"/>
  <c r="O52" s="1"/>
  <c r="R50"/>
  <c r="AE50" s="1"/>
  <c r="AB47"/>
  <c r="N45"/>
  <c r="AC45" s="1"/>
  <c r="T87"/>
  <c r="O49"/>
  <c r="AD49" s="1"/>
  <c r="R79"/>
  <c r="AE79" s="1"/>
  <c r="O50"/>
  <c r="AD50" s="1"/>
  <c r="AB49"/>
  <c r="S52"/>
  <c r="AF52" s="1"/>
  <c r="R52"/>
  <c r="AE52" s="1"/>
  <c r="S50"/>
  <c r="AF50" s="1"/>
  <c r="S47"/>
  <c r="AF47" s="1"/>
  <c r="N47"/>
  <c r="AC47" s="1"/>
  <c r="Q36"/>
  <c r="S84"/>
  <c r="AF84" s="1"/>
  <c r="N84"/>
  <c r="AC84" s="1"/>
  <c r="AB84"/>
  <c r="N74"/>
  <c r="S74"/>
  <c r="AF74" s="1"/>
  <c r="AB74"/>
  <c r="L32"/>
  <c r="AB32"/>
  <c r="AB75"/>
  <c r="S75"/>
  <c r="AF75" s="1"/>
  <c r="N75"/>
  <c r="N67"/>
  <c r="AB67"/>
  <c r="S67"/>
  <c r="AF67" s="1"/>
  <c r="N61"/>
  <c r="AB61"/>
  <c r="AB79"/>
  <c r="N79"/>
  <c r="O41"/>
  <c r="O70"/>
  <c r="AB68"/>
  <c r="R68"/>
  <c r="AE68" s="1"/>
  <c r="N68"/>
  <c r="AB40"/>
  <c r="N40"/>
  <c r="AB62"/>
  <c r="R62"/>
  <c r="AE62" s="1"/>
  <c r="AB80"/>
  <c r="N80"/>
  <c r="L33"/>
  <c r="AB33"/>
  <c r="N43"/>
  <c r="AB43"/>
  <c r="S43"/>
  <c r="AF43" s="1"/>
  <c r="S63"/>
  <c r="AF63" s="1"/>
  <c r="N63"/>
  <c r="AC63" s="1"/>
  <c r="AB63"/>
  <c r="O63"/>
  <c r="AD63" s="1"/>
  <c r="S83"/>
  <c r="AF83" s="1"/>
  <c r="AB83"/>
  <c r="R83"/>
  <c r="AE83" s="1"/>
  <c r="N83"/>
  <c r="AB85"/>
  <c r="N85"/>
  <c r="AC66"/>
  <c r="O66"/>
  <c r="AC46"/>
  <c r="AC48"/>
  <c r="O48"/>
  <c r="O62"/>
  <c r="AC62"/>
  <c r="AC52"/>
  <c r="AC90"/>
  <c r="T78"/>
  <c r="AG78" s="1"/>
  <c r="AD78"/>
  <c r="AC59"/>
  <c r="O59"/>
  <c r="Q37"/>
  <c r="T42"/>
  <c r="Q35"/>
  <c r="N35"/>
  <c r="O35" s="1"/>
  <c r="AD35" s="1"/>
  <c r="T71"/>
  <c r="AG71" s="1"/>
  <c r="AD71"/>
  <c r="T73"/>
  <c r="AG73" s="1"/>
  <c r="AD73"/>
  <c r="AC73"/>
  <c r="AD58"/>
  <c r="T58"/>
  <c r="AG58" s="1"/>
  <c r="T77"/>
  <c r="AG77" s="1"/>
  <c r="AH77" s="1"/>
  <c r="AD76"/>
  <c r="T76"/>
  <c r="AD65"/>
  <c r="T65"/>
  <c r="O90"/>
  <c r="N37"/>
  <c r="O81"/>
  <c r="O88"/>
  <c r="O45"/>
  <c r="AD45" s="1"/>
  <c r="A41"/>
  <c r="G40"/>
  <c r="T69"/>
  <c r="AG69" s="1"/>
  <c r="AD69"/>
  <c r="T49"/>
  <c r="AG49" s="1"/>
  <c r="AG87"/>
  <c r="AH87" s="1"/>
  <c r="AE34"/>
  <c r="AF55" l="1"/>
  <c r="U87"/>
  <c r="AD72"/>
  <c r="O38"/>
  <c r="AB94"/>
  <c r="AF101"/>
  <c r="AF122" s="1"/>
  <c r="O44"/>
  <c r="T60"/>
  <c r="AG60" s="1"/>
  <c r="AH60" s="1"/>
  <c r="O51"/>
  <c r="O89"/>
  <c r="N36"/>
  <c r="T46"/>
  <c r="AG46" s="1"/>
  <c r="AH46" s="1"/>
  <c r="AH78"/>
  <c r="AC91"/>
  <c r="O91"/>
  <c r="O86"/>
  <c r="AC86"/>
  <c r="AC64"/>
  <c r="O64"/>
  <c r="N34"/>
  <c r="Q34"/>
  <c r="AC39"/>
  <c r="O39"/>
  <c r="AC82"/>
  <c r="O82"/>
  <c r="AH49"/>
  <c r="T52"/>
  <c r="AG52" s="1"/>
  <c r="O47"/>
  <c r="AD47" s="1"/>
  <c r="T50"/>
  <c r="AH69"/>
  <c r="AH72"/>
  <c r="U77"/>
  <c r="U73"/>
  <c r="AH71"/>
  <c r="T63"/>
  <c r="AG63" s="1"/>
  <c r="AH63" s="1"/>
  <c r="AE94"/>
  <c r="AC43"/>
  <c r="O43"/>
  <c r="AD43" s="1"/>
  <c r="Q33"/>
  <c r="N33"/>
  <c r="T70"/>
  <c r="AD70"/>
  <c r="AC79"/>
  <c r="O79"/>
  <c r="AC67"/>
  <c r="O67"/>
  <c r="AB101"/>
  <c r="AB122" s="1"/>
  <c r="AB55"/>
  <c r="AC74"/>
  <c r="O74"/>
  <c r="U58"/>
  <c r="V58" s="1"/>
  <c r="AI58" s="1"/>
  <c r="U78"/>
  <c r="V78" s="1"/>
  <c r="AI78" s="1"/>
  <c r="O84"/>
  <c r="AD66"/>
  <c r="T66"/>
  <c r="AC85"/>
  <c r="O85"/>
  <c r="AC83"/>
  <c r="AC80"/>
  <c r="O80"/>
  <c r="AC40"/>
  <c r="O40"/>
  <c r="AC68"/>
  <c r="O68"/>
  <c r="AD41"/>
  <c r="T41"/>
  <c r="AC61"/>
  <c r="O61"/>
  <c r="AC75"/>
  <c r="O75"/>
  <c r="Q32"/>
  <c r="N32"/>
  <c r="T35"/>
  <c r="AG35" s="1"/>
  <c r="O83"/>
  <c r="AF94"/>
  <c r="AF97" s="1"/>
  <c r="AC37"/>
  <c r="AD81"/>
  <c r="T81"/>
  <c r="AG81" s="1"/>
  <c r="AD38"/>
  <c r="T38"/>
  <c r="AG38" s="1"/>
  <c r="AD59"/>
  <c r="T59"/>
  <c r="AG59" s="1"/>
  <c r="AD62"/>
  <c r="T62"/>
  <c r="U69"/>
  <c r="V69" s="1"/>
  <c r="AI69" s="1"/>
  <c r="AJ69" s="1"/>
  <c r="AH58"/>
  <c r="AH73"/>
  <c r="U72"/>
  <c r="U71"/>
  <c r="U46"/>
  <c r="O37"/>
  <c r="T88"/>
  <c r="AG88" s="1"/>
  <c r="AD88"/>
  <c r="T90"/>
  <c r="AG90" s="1"/>
  <c r="AD90"/>
  <c r="U65"/>
  <c r="AG65"/>
  <c r="AH65" s="1"/>
  <c r="AG76"/>
  <c r="AH76" s="1"/>
  <c r="U76"/>
  <c r="V76" s="1"/>
  <c r="AI76" s="1"/>
  <c r="V77"/>
  <c r="AI77" s="1"/>
  <c r="AJ77" s="1"/>
  <c r="V73"/>
  <c r="AI73" s="1"/>
  <c r="AC35"/>
  <c r="AG42"/>
  <c r="AH42" s="1"/>
  <c r="U42"/>
  <c r="AD52"/>
  <c r="AH52" s="1"/>
  <c r="AD48"/>
  <c r="T48"/>
  <c r="AE55"/>
  <c r="AE97" s="1"/>
  <c r="AE101"/>
  <c r="AE122" s="1"/>
  <c r="A42"/>
  <c r="G41"/>
  <c r="T45"/>
  <c r="AG45" s="1"/>
  <c r="AH45" s="1"/>
  <c r="V87"/>
  <c r="AI87" s="1"/>
  <c r="AJ87" s="1"/>
  <c r="U49"/>
  <c r="U60" l="1"/>
  <c r="V60" s="1"/>
  <c r="AI60" s="1"/>
  <c r="T44"/>
  <c r="AD44"/>
  <c r="U52"/>
  <c r="AH35"/>
  <c r="AJ78"/>
  <c r="AB97"/>
  <c r="AD51"/>
  <c r="T51"/>
  <c r="AD89"/>
  <c r="T89"/>
  <c r="O36"/>
  <c r="AC36"/>
  <c r="T36"/>
  <c r="AG36" s="1"/>
  <c r="U88"/>
  <c r="AC34"/>
  <c r="O34"/>
  <c r="T34" s="1"/>
  <c r="AG34" s="1"/>
  <c r="T86"/>
  <c r="AD86"/>
  <c r="AD82"/>
  <c r="T82"/>
  <c r="AD39"/>
  <c r="T39"/>
  <c r="AD64"/>
  <c r="T64"/>
  <c r="AG64" s="1"/>
  <c r="AD91"/>
  <c r="T91"/>
  <c r="U63"/>
  <c r="V63" s="1"/>
  <c r="AI63" s="1"/>
  <c r="AJ63" s="1"/>
  <c r="T47"/>
  <c r="U47" s="1"/>
  <c r="U45"/>
  <c r="U35"/>
  <c r="U50"/>
  <c r="V50" s="1"/>
  <c r="AI50" s="1"/>
  <c r="AG50"/>
  <c r="AH50" s="1"/>
  <c r="W76"/>
  <c r="Y76" s="1"/>
  <c r="T43"/>
  <c r="AG43" s="1"/>
  <c r="AH43" s="1"/>
  <c r="U38"/>
  <c r="T83"/>
  <c r="AG83" s="1"/>
  <c r="AD83"/>
  <c r="AC32"/>
  <c r="O32"/>
  <c r="AD75"/>
  <c r="T75"/>
  <c r="AG75" s="1"/>
  <c r="AD61"/>
  <c r="T61"/>
  <c r="AG61" s="1"/>
  <c r="AG41"/>
  <c r="AH41" s="1"/>
  <c r="U41"/>
  <c r="V41" s="1"/>
  <c r="AI41" s="1"/>
  <c r="AD68"/>
  <c r="T68"/>
  <c r="AG68" s="1"/>
  <c r="AD40"/>
  <c r="T40"/>
  <c r="T80"/>
  <c r="AG80" s="1"/>
  <c r="AD80"/>
  <c r="AD85"/>
  <c r="T85"/>
  <c r="U66"/>
  <c r="V66" s="1"/>
  <c r="AI66" s="1"/>
  <c r="AG66"/>
  <c r="AH66" s="1"/>
  <c r="AD84"/>
  <c r="T84"/>
  <c r="AG84" s="1"/>
  <c r="AD74"/>
  <c r="T74"/>
  <c r="AG74" s="1"/>
  <c r="AD67"/>
  <c r="T67"/>
  <c r="T79"/>
  <c r="AD79"/>
  <c r="AC33"/>
  <c r="AG70"/>
  <c r="AH70" s="1"/>
  <c r="U70"/>
  <c r="V70" s="1"/>
  <c r="AI70" s="1"/>
  <c r="U90"/>
  <c r="V90" s="1"/>
  <c r="W78"/>
  <c r="AP78" s="1"/>
  <c r="AH90"/>
  <c r="AH88"/>
  <c r="AJ58"/>
  <c r="W58"/>
  <c r="AP58" s="1"/>
  <c r="AC94"/>
  <c r="O33"/>
  <c r="V88"/>
  <c r="AI88" s="1"/>
  <c r="V65"/>
  <c r="AI65" s="1"/>
  <c r="AJ65" s="1"/>
  <c r="V71"/>
  <c r="AI71" s="1"/>
  <c r="AJ71" s="1"/>
  <c r="AG62"/>
  <c r="AH62" s="1"/>
  <c r="U62"/>
  <c r="AH59"/>
  <c r="AJ73"/>
  <c r="AL73" s="1"/>
  <c r="U59"/>
  <c r="AH38"/>
  <c r="U81"/>
  <c r="AH81"/>
  <c r="AG48"/>
  <c r="AH48" s="1"/>
  <c r="U48"/>
  <c r="V52"/>
  <c r="AI52" s="1"/>
  <c r="AJ52" s="1"/>
  <c r="V42"/>
  <c r="AI42" s="1"/>
  <c r="AJ42" s="1"/>
  <c r="V35"/>
  <c r="AI35" s="1"/>
  <c r="AJ35" s="1"/>
  <c r="AL35" s="1"/>
  <c r="AD37"/>
  <c r="V46"/>
  <c r="AI46" s="1"/>
  <c r="AJ46" s="1"/>
  <c r="V72"/>
  <c r="AI72" s="1"/>
  <c r="AJ72" s="1"/>
  <c r="W87"/>
  <c r="AP87" s="1"/>
  <c r="W50"/>
  <c r="Y50" s="1"/>
  <c r="AQ50" s="1"/>
  <c r="W69"/>
  <c r="AP69" s="1"/>
  <c r="W63"/>
  <c r="W73"/>
  <c r="AP73" s="1"/>
  <c r="W77"/>
  <c r="AJ76"/>
  <c r="T37"/>
  <c r="AG37" s="1"/>
  <c r="V45"/>
  <c r="AI45" s="1"/>
  <c r="AJ45" s="1"/>
  <c r="AJ60"/>
  <c r="W66"/>
  <c r="AP76"/>
  <c r="V49"/>
  <c r="AI49" s="1"/>
  <c r="AJ49" s="1"/>
  <c r="A43"/>
  <c r="G42"/>
  <c r="W60"/>
  <c r="AG44" l="1"/>
  <c r="AH44" s="1"/>
  <c r="U44"/>
  <c r="AG47"/>
  <c r="AH47" s="1"/>
  <c r="AJ88"/>
  <c r="AG89"/>
  <c r="AH89" s="1"/>
  <c r="U89"/>
  <c r="V89" s="1"/>
  <c r="AI89" s="1"/>
  <c r="AG51"/>
  <c r="AH51" s="1"/>
  <c r="U51"/>
  <c r="AD36"/>
  <c r="U36"/>
  <c r="AH36"/>
  <c r="W41"/>
  <c r="Y41" s="1"/>
  <c r="AQ41" s="1"/>
  <c r="U83"/>
  <c r="V83" s="1"/>
  <c r="AI83" s="1"/>
  <c r="AG91"/>
  <c r="AH91" s="1"/>
  <c r="U91"/>
  <c r="V91" s="1"/>
  <c r="AI91" s="1"/>
  <c r="U64"/>
  <c r="AH64"/>
  <c r="AG39"/>
  <c r="AH39" s="1"/>
  <c r="U39"/>
  <c r="V39" s="1"/>
  <c r="AI39" s="1"/>
  <c r="U82"/>
  <c r="V82" s="1"/>
  <c r="AI82" s="1"/>
  <c r="AG82"/>
  <c r="AH82" s="1"/>
  <c r="U86"/>
  <c r="V86" s="1"/>
  <c r="AI86" s="1"/>
  <c r="AG86"/>
  <c r="AH86" s="1"/>
  <c r="AD34"/>
  <c r="AH34" s="1"/>
  <c r="U34"/>
  <c r="V34" s="1"/>
  <c r="AI34" s="1"/>
  <c r="V47"/>
  <c r="AI47" s="1"/>
  <c r="Y58"/>
  <c r="AL58" s="1"/>
  <c r="U43"/>
  <c r="V43" s="1"/>
  <c r="AI43" s="1"/>
  <c r="AJ43" s="1"/>
  <c r="U61"/>
  <c r="V61" s="1"/>
  <c r="AI61" s="1"/>
  <c r="AJ41"/>
  <c r="AL41" s="1"/>
  <c r="AJ50"/>
  <c r="AL50" s="1"/>
  <c r="AH37"/>
  <c r="AH74"/>
  <c r="U68"/>
  <c r="AP50"/>
  <c r="Y69"/>
  <c r="Y87"/>
  <c r="AQ87" s="1"/>
  <c r="Y78"/>
  <c r="AQ78" s="1"/>
  <c r="W72"/>
  <c r="Y72" s="1"/>
  <c r="AQ72" s="1"/>
  <c r="W46"/>
  <c r="AP46" s="1"/>
  <c r="W70"/>
  <c r="AP70" s="1"/>
  <c r="V38"/>
  <c r="AI38" s="1"/>
  <c r="AJ38" s="1"/>
  <c r="AH61"/>
  <c r="AH75"/>
  <c r="AH83"/>
  <c r="W52"/>
  <c r="AP52" s="1"/>
  <c r="AD94"/>
  <c r="AH84"/>
  <c r="AI90"/>
  <c r="AJ90" s="1"/>
  <c r="W90"/>
  <c r="Y90" s="1"/>
  <c r="AQ90" s="1"/>
  <c r="AD33"/>
  <c r="AG79"/>
  <c r="AH79" s="1"/>
  <c r="U79"/>
  <c r="AG40"/>
  <c r="AH40" s="1"/>
  <c r="U40"/>
  <c r="AD32"/>
  <c r="T32"/>
  <c r="U32" s="1"/>
  <c r="W49"/>
  <c r="AP49" s="1"/>
  <c r="AL87"/>
  <c r="W89"/>
  <c r="Y89" s="1"/>
  <c r="AQ89" s="1"/>
  <c r="W35"/>
  <c r="AP35" s="1"/>
  <c r="AJ70"/>
  <c r="T33"/>
  <c r="AG33" s="1"/>
  <c r="U74"/>
  <c r="U84"/>
  <c r="AJ66"/>
  <c r="U80"/>
  <c r="AH68"/>
  <c r="AG67"/>
  <c r="AH67" s="1"/>
  <c r="U67"/>
  <c r="AG85"/>
  <c r="AH85" s="1"/>
  <c r="U85"/>
  <c r="AC101"/>
  <c r="AC122" s="1"/>
  <c r="AC55"/>
  <c r="AC97" s="1"/>
  <c r="AH80"/>
  <c r="U75"/>
  <c r="AP63"/>
  <c r="Y63"/>
  <c r="V81"/>
  <c r="AI81" s="1"/>
  <c r="AJ81" s="1"/>
  <c r="Y70"/>
  <c r="V59"/>
  <c r="AI59" s="1"/>
  <c r="AJ59" s="1"/>
  <c r="V62"/>
  <c r="AI62" s="1"/>
  <c r="AJ62" s="1"/>
  <c r="W42"/>
  <c r="W71"/>
  <c r="W65"/>
  <c r="W86"/>
  <c r="W88"/>
  <c r="Y77"/>
  <c r="AP77"/>
  <c r="AQ58"/>
  <c r="AP72"/>
  <c r="Y46"/>
  <c r="AQ46" s="1"/>
  <c r="Y52"/>
  <c r="AQ52" s="1"/>
  <c r="V48"/>
  <c r="AI48" s="1"/>
  <c r="AJ48" s="1"/>
  <c r="AP90"/>
  <c r="AL78"/>
  <c r="W61"/>
  <c r="U37"/>
  <c r="Y49"/>
  <c r="AQ49" s="1"/>
  <c r="Y66"/>
  <c r="AP66"/>
  <c r="Y60"/>
  <c r="AP60"/>
  <c r="A44"/>
  <c r="G43"/>
  <c r="AL60"/>
  <c r="W45"/>
  <c r="AQ76"/>
  <c r="AL76"/>
  <c r="AG94" l="1"/>
  <c r="V44"/>
  <c r="AI44" s="1"/>
  <c r="AJ44" s="1"/>
  <c r="AJ47"/>
  <c r="AJ89"/>
  <c r="AL89" s="1"/>
  <c r="V51"/>
  <c r="AI51" s="1"/>
  <c r="AJ51" s="1"/>
  <c r="V36"/>
  <c r="AI36" s="1"/>
  <c r="AJ36" s="1"/>
  <c r="AD55"/>
  <c r="AD97" s="1"/>
  <c r="AD101"/>
  <c r="AD122" s="1"/>
  <c r="W34"/>
  <c r="W91"/>
  <c r="Y91" s="1"/>
  <c r="AH33"/>
  <c r="W39"/>
  <c r="AP41"/>
  <c r="AJ82"/>
  <c r="AP89"/>
  <c r="W82"/>
  <c r="AJ34"/>
  <c r="AJ86"/>
  <c r="AJ39"/>
  <c r="AJ91"/>
  <c r="V64"/>
  <c r="AI64" s="1"/>
  <c r="AJ64" s="1"/>
  <c r="AJ61"/>
  <c r="W47"/>
  <c r="AL90"/>
  <c r="V68"/>
  <c r="AI68" s="1"/>
  <c r="AJ68" s="1"/>
  <c r="AQ69"/>
  <c r="AL69"/>
  <c r="AJ83"/>
  <c r="W38"/>
  <c r="AP38" s="1"/>
  <c r="AH94"/>
  <c r="AL49"/>
  <c r="W43"/>
  <c r="AP43" s="1"/>
  <c r="W83"/>
  <c r="Y83" s="1"/>
  <c r="V32"/>
  <c r="AI32" s="1"/>
  <c r="V80"/>
  <c r="AI80" s="1"/>
  <c r="AJ80" s="1"/>
  <c r="V74"/>
  <c r="AI74" s="1"/>
  <c r="AJ74" s="1"/>
  <c r="AL74" s="1"/>
  <c r="W48"/>
  <c r="AP48" s="1"/>
  <c r="V75"/>
  <c r="AI75" s="1"/>
  <c r="AJ75" s="1"/>
  <c r="V85"/>
  <c r="AI85" s="1"/>
  <c r="AJ85" s="1"/>
  <c r="V67"/>
  <c r="AI67" s="1"/>
  <c r="AJ67" s="1"/>
  <c r="V84"/>
  <c r="AI84" s="1"/>
  <c r="AJ84" s="1"/>
  <c r="Q29"/>
  <c r="R29" s="1"/>
  <c r="AG32"/>
  <c r="V40"/>
  <c r="AI40" s="1"/>
  <c r="AJ40" s="1"/>
  <c r="V79"/>
  <c r="AI79" s="1"/>
  <c r="AJ79" s="1"/>
  <c r="U33"/>
  <c r="V37"/>
  <c r="AI37" s="1"/>
  <c r="AP88"/>
  <c r="Y88"/>
  <c r="AP65"/>
  <c r="Y65"/>
  <c r="AP71"/>
  <c r="Y71"/>
  <c r="AP42"/>
  <c r="Y42"/>
  <c r="AL46"/>
  <c r="W62"/>
  <c r="W59"/>
  <c r="W81"/>
  <c r="AP61"/>
  <c r="Y61"/>
  <c r="Y48"/>
  <c r="AQ77"/>
  <c r="AL77"/>
  <c r="AP86"/>
  <c r="Y86"/>
  <c r="AP91"/>
  <c r="AQ70"/>
  <c r="AL70"/>
  <c r="AQ63"/>
  <c r="AL63"/>
  <c r="AL72"/>
  <c r="AL52"/>
  <c r="G44"/>
  <c r="A45"/>
  <c r="AQ60"/>
  <c r="AQ66"/>
  <c r="AL66"/>
  <c r="AP34"/>
  <c r="Y34"/>
  <c r="AP45"/>
  <c r="Y45"/>
  <c r="W44" l="1"/>
  <c r="W51"/>
  <c r="W36"/>
  <c r="AP39"/>
  <c r="Y39"/>
  <c r="AQ39" s="1"/>
  <c r="W64"/>
  <c r="Y64" s="1"/>
  <c r="AQ64" s="1"/>
  <c r="AP82"/>
  <c r="Y82"/>
  <c r="AP83"/>
  <c r="AP47"/>
  <c r="Y47"/>
  <c r="Y43"/>
  <c r="AQ43" s="1"/>
  <c r="Y38"/>
  <c r="AL38" s="1"/>
  <c r="W68"/>
  <c r="AP68" s="1"/>
  <c r="W84"/>
  <c r="AP84" s="1"/>
  <c r="W74"/>
  <c r="AP74" s="1"/>
  <c r="AI94"/>
  <c r="AI95" s="1"/>
  <c r="AL43"/>
  <c r="W79"/>
  <c r="AP79" s="1"/>
  <c r="W85"/>
  <c r="AP85" s="1"/>
  <c r="W75"/>
  <c r="AP75" s="1"/>
  <c r="W32"/>
  <c r="V33"/>
  <c r="AI33" s="1"/>
  <c r="AJ33" s="1"/>
  <c r="AL83"/>
  <c r="AQ83"/>
  <c r="W40"/>
  <c r="W67"/>
  <c r="W80"/>
  <c r="Y79"/>
  <c r="AQ79" s="1"/>
  <c r="AG55"/>
  <c r="AG97" s="1"/>
  <c r="AG101"/>
  <c r="AG122" s="1"/>
  <c r="AH32"/>
  <c r="Y84"/>
  <c r="Y85"/>
  <c r="AQ85" s="1"/>
  <c r="AJ94"/>
  <c r="AQ86"/>
  <c r="AL86"/>
  <c r="AQ61"/>
  <c r="AL61"/>
  <c r="AP59"/>
  <c r="Y59"/>
  <c r="W37"/>
  <c r="AQ91"/>
  <c r="AL91"/>
  <c r="AQ48"/>
  <c r="AL48"/>
  <c r="Y81"/>
  <c r="AP81"/>
  <c r="Y62"/>
  <c r="AP62"/>
  <c r="AQ42"/>
  <c r="AL42"/>
  <c r="AQ71"/>
  <c r="AL71"/>
  <c r="AQ65"/>
  <c r="AL65"/>
  <c r="AQ88"/>
  <c r="AL88"/>
  <c r="AJ37"/>
  <c r="AI101"/>
  <c r="AI122" s="1"/>
  <c r="AQ45"/>
  <c r="AL45"/>
  <c r="AQ34"/>
  <c r="AL34"/>
  <c r="A46"/>
  <c r="G45"/>
  <c r="Y44" l="1"/>
  <c r="AP44"/>
  <c r="Y51"/>
  <c r="AP51"/>
  <c r="Y36"/>
  <c r="AP36"/>
  <c r="AP64"/>
  <c r="AL39"/>
  <c r="AQ82"/>
  <c r="AL82"/>
  <c r="AL64"/>
  <c r="AQ47"/>
  <c r="AL47"/>
  <c r="Y68"/>
  <c r="AQ68" s="1"/>
  <c r="AQ38"/>
  <c r="AL79"/>
  <c r="Y75"/>
  <c r="AQ75" s="1"/>
  <c r="AI55"/>
  <c r="W33"/>
  <c r="AP33" s="1"/>
  <c r="AP32"/>
  <c r="Y32"/>
  <c r="AQ32" s="1"/>
  <c r="AL84"/>
  <c r="AQ84"/>
  <c r="Y80"/>
  <c r="AP80"/>
  <c r="AP40"/>
  <c r="Y40"/>
  <c r="AL85"/>
  <c r="AH55"/>
  <c r="AH97" s="1"/>
  <c r="AJ32"/>
  <c r="AJ55" s="1"/>
  <c r="AJ97" s="1"/>
  <c r="AH101"/>
  <c r="AH122" s="1"/>
  <c r="Y67"/>
  <c r="AP67"/>
  <c r="AQ62"/>
  <c r="AL62"/>
  <c r="AQ81"/>
  <c r="AL81"/>
  <c r="AP37"/>
  <c r="Y37"/>
  <c r="AL37" s="1"/>
  <c r="AQ59"/>
  <c r="AL59"/>
  <c r="G46"/>
  <c r="A47"/>
  <c r="AQ44" l="1"/>
  <c r="AL44"/>
  <c r="AQ51"/>
  <c r="AL51"/>
  <c r="AQ36"/>
  <c r="AL36"/>
  <c r="AI56"/>
  <c r="AI97" s="1"/>
  <c r="AI98" s="1"/>
  <c r="AL75"/>
  <c r="AL68"/>
  <c r="Y33"/>
  <c r="AQ33" s="1"/>
  <c r="Y94"/>
  <c r="AL94" s="1"/>
  <c r="AL33"/>
  <c r="AQ67"/>
  <c r="AL67"/>
  <c r="AQ80"/>
  <c r="AL80"/>
  <c r="AJ101"/>
  <c r="AJ122" s="1"/>
  <c r="AL32"/>
  <c r="AQ40"/>
  <c r="AL40"/>
  <c r="AQ94"/>
  <c r="AQ37"/>
  <c r="A48"/>
  <c r="G47"/>
  <c r="Y55" l="1"/>
  <c r="Y97" s="1"/>
  <c r="Y101"/>
  <c r="AQ101" s="1"/>
  <c r="AL55"/>
  <c r="A49"/>
  <c r="G48"/>
  <c r="AQ55" l="1"/>
  <c r="Y122"/>
  <c r="AL122" s="1"/>
  <c r="AL101"/>
  <c r="AQ97"/>
  <c r="AL97"/>
  <c r="A50"/>
  <c r="G49"/>
  <c r="AQ122" l="1"/>
  <c r="U101"/>
  <c r="A51"/>
  <c r="G50"/>
  <c r="A52" l="1"/>
  <c r="G52" s="1"/>
  <c r="G51"/>
</calcChain>
</file>

<file path=xl/sharedStrings.xml><?xml version="1.0" encoding="utf-8"?>
<sst xmlns="http://schemas.openxmlformats.org/spreadsheetml/2006/main" count="336" uniqueCount="215">
  <si>
    <t>AVERAGE</t>
  </si>
  <si>
    <t>MONTH</t>
  </si>
  <si>
    <t>ZONE 1 - IRAQ</t>
  </si>
  <si>
    <t>Zone 2 - Columbia</t>
  </si>
  <si>
    <t>ZONE 3 - KUWAIT</t>
  </si>
  <si>
    <t>April 07</t>
  </si>
  <si>
    <t>March 07</t>
  </si>
  <si>
    <t>**</t>
  </si>
  <si>
    <t>$ 162.67</t>
  </si>
  <si>
    <t>April 05</t>
  </si>
  <si>
    <t>March 05</t>
  </si>
  <si>
    <t>** Note:  Premium Decreased for 2007 From 168,100 per month to 62,500 per month</t>
  </si>
  <si>
    <t>RFP:</t>
  </si>
  <si>
    <t>PL:</t>
  </si>
  <si>
    <t>Mthly War Risk</t>
  </si>
  <si>
    <t>Title:</t>
  </si>
  <si>
    <t>Offeror:</t>
  </si>
  <si>
    <t>Hours per Mo</t>
  </si>
  <si>
    <t>Report:</t>
  </si>
  <si>
    <t>Fully Burdened Rate Detail</t>
  </si>
  <si>
    <t>War Risk/hr</t>
  </si>
  <si>
    <t>Start</t>
  </si>
  <si>
    <t>End</t>
  </si>
  <si>
    <t>Cost Ctr</t>
  </si>
  <si>
    <t>Site</t>
  </si>
  <si>
    <t>Burden Code</t>
  </si>
  <si>
    <t>Esc. or Sub Fee</t>
  </si>
  <si>
    <t>Esc. Factor</t>
  </si>
  <si>
    <t>Hardship</t>
  </si>
  <si>
    <t>Hazard</t>
  </si>
  <si>
    <t>PRB</t>
  </si>
  <si>
    <t>Overhead</t>
  </si>
  <si>
    <t>Per Diem</t>
  </si>
  <si>
    <t>DBA</t>
  </si>
  <si>
    <t>War Risk</t>
  </si>
  <si>
    <t>Bonus</t>
  </si>
  <si>
    <t>G&amp;A</t>
  </si>
  <si>
    <t>Cost</t>
  </si>
  <si>
    <t>Profit / Fee</t>
  </si>
  <si>
    <t>Annual Esc. / Fee</t>
  </si>
  <si>
    <t>Contr-Afghan</t>
  </si>
  <si>
    <t>Govt</t>
  </si>
  <si>
    <t>Contr WD</t>
  </si>
  <si>
    <t>Govt WD</t>
  </si>
  <si>
    <t>Contr</t>
  </si>
  <si>
    <t>Govt - IWA</t>
  </si>
  <si>
    <t>Contr - IWA2</t>
  </si>
  <si>
    <t>Govt - IWA2</t>
  </si>
  <si>
    <t>Contr - OT</t>
  </si>
  <si>
    <t>Govt - OT</t>
  </si>
  <si>
    <t>Contr WD - OT</t>
  </si>
  <si>
    <t>Govt WD - OT</t>
  </si>
  <si>
    <t>Govt_Sub</t>
  </si>
  <si>
    <t>Contr_Sub</t>
  </si>
  <si>
    <t>Materials</t>
  </si>
  <si>
    <t>ODCs</t>
  </si>
  <si>
    <t>(B+C+D+E)</t>
  </si>
  <si>
    <t>A</t>
  </si>
  <si>
    <t>B</t>
  </si>
  <si>
    <t>C</t>
  </si>
  <si>
    <t>D</t>
  </si>
  <si>
    <t>E</t>
  </si>
  <si>
    <t>F</t>
  </si>
  <si>
    <t>G</t>
  </si>
  <si>
    <t>FILTER (RATES)</t>
  </si>
  <si>
    <t>FILTER (TOTALS)</t>
  </si>
  <si>
    <t>Labor Category</t>
  </si>
  <si>
    <t>Company</t>
  </si>
  <si>
    <t>Name/Code</t>
  </si>
  <si>
    <t>HIDE</t>
  </si>
  <si>
    <t>Base Rate</t>
  </si>
  <si>
    <t>Esc. Rate</t>
  </si>
  <si>
    <t>Sell Rate</t>
  </si>
  <si>
    <t>Hours/Qty</t>
  </si>
  <si>
    <t>Amount</t>
  </si>
  <si>
    <t>Labor</t>
  </si>
  <si>
    <t>Total</t>
  </si>
  <si>
    <t>Delta</t>
  </si>
  <si>
    <t>ManTech</t>
  </si>
  <si>
    <t>Labor Total:</t>
  </si>
  <si>
    <t>Effective</t>
  </si>
  <si>
    <t>Materials / Other Direct Costs</t>
  </si>
  <si>
    <t>POLYCOM  VMRX2540R</t>
  </si>
  <si>
    <t>POLYCOM  Premier 3-yr Maintenance</t>
  </si>
  <si>
    <t>POLYCOM  Redundant Appliance and License</t>
  </si>
  <si>
    <t>POLYCOM  CMA5000</t>
  </si>
  <si>
    <t>POLYCOM  VBP 5300</t>
  </si>
  <si>
    <t>POLYCOM  DMA 7000 RMX</t>
  </si>
  <si>
    <t>POLYCOM  DMA 7000 Single Server</t>
  </si>
  <si>
    <t>POLYCOM  2-post rail kit</t>
  </si>
  <si>
    <t>POLYCOM  Shipping</t>
  </si>
  <si>
    <t>POLYCOM  Shipping from Shape to Afghanistan</t>
  </si>
  <si>
    <t>ODC</t>
  </si>
  <si>
    <t xml:space="preserve">PER DIEM SHAPE </t>
  </si>
  <si>
    <t>Travel</t>
  </si>
  <si>
    <t>Materials/ODCs Total:</t>
  </si>
  <si>
    <t>Grand Total:</t>
  </si>
  <si>
    <t>Total Hrs. %</t>
  </si>
  <si>
    <t>Total $ %</t>
  </si>
  <si>
    <t>Sub Hr %</t>
  </si>
  <si>
    <t>Sub $ %</t>
  </si>
  <si>
    <t>Hours</t>
  </si>
  <si>
    <t>N/A</t>
  </si>
  <si>
    <t>Total:</t>
  </si>
  <si>
    <t>Project Manager</t>
  </si>
  <si>
    <t>Project Manager NON Bill</t>
  </si>
  <si>
    <t>Prog Financial Analyst, Senior</t>
  </si>
  <si>
    <t>Category 7</t>
  </si>
  <si>
    <t>Category 8</t>
  </si>
  <si>
    <t>Category 9</t>
  </si>
  <si>
    <t>Category 10</t>
  </si>
  <si>
    <t>Category 11</t>
  </si>
  <si>
    <t>Category 12</t>
  </si>
  <si>
    <t>Category 13</t>
  </si>
  <si>
    <t>Category 14</t>
  </si>
  <si>
    <t>Category 15</t>
  </si>
  <si>
    <t>Category 16</t>
  </si>
  <si>
    <t>Category 17</t>
  </si>
  <si>
    <t>Category 18</t>
  </si>
  <si>
    <t>Category 19</t>
  </si>
  <si>
    <t>Category 20</t>
  </si>
  <si>
    <t>Schoenfelt,Stephen E.</t>
  </si>
  <si>
    <t>Little,MaryJane V</t>
  </si>
  <si>
    <t>AMN VTC- Request for advance quotation</t>
  </si>
  <si>
    <t>NATO SHAPE</t>
  </si>
  <si>
    <t>ManTech Telecommunications and Information Systems Corporation</t>
  </si>
  <si>
    <t>Contr/Govt</t>
  </si>
  <si>
    <t>Base Year</t>
  </si>
  <si>
    <t>IS</t>
  </si>
  <si>
    <t>ESD</t>
  </si>
  <si>
    <t>Sub 1</t>
  </si>
  <si>
    <t>Sub 2</t>
  </si>
  <si>
    <t>Sub 3</t>
  </si>
  <si>
    <t>Sub 4</t>
  </si>
  <si>
    <t>Sub 5</t>
  </si>
  <si>
    <t>Sub 6</t>
  </si>
  <si>
    <t>Sub 7</t>
  </si>
  <si>
    <t>Sub 8</t>
  </si>
  <si>
    <t>Sub 9</t>
  </si>
  <si>
    <t>Sub 10</t>
  </si>
  <si>
    <t>Sub 11</t>
  </si>
  <si>
    <t>Sub 12</t>
  </si>
  <si>
    <t>Sub 13</t>
  </si>
  <si>
    <t>Sub 14</t>
  </si>
  <si>
    <t>Sub 15</t>
  </si>
  <si>
    <t>Sub 16</t>
  </si>
  <si>
    <t>Sub 17</t>
  </si>
  <si>
    <t>Sub 18</t>
  </si>
  <si>
    <t>Sub 19</t>
  </si>
  <si>
    <t>Sub 20</t>
  </si>
  <si>
    <t xml:space="preserve"> </t>
  </si>
  <si>
    <t>Afghanistan  46*12</t>
  </si>
  <si>
    <t>SHAPE  18*12</t>
  </si>
  <si>
    <t>P-13439</t>
  </si>
  <si>
    <t>Predeployment Prep and Project Planning</t>
  </si>
  <si>
    <t>POLYCOM TUITION-Unbillable for 1 person</t>
  </si>
  <si>
    <t>POLYCOM  TRAVEL for training - Mileage only from COS to Denver</t>
  </si>
  <si>
    <t>PER DIEM  ISAF Meals (46 days @ $54/day)</t>
  </si>
  <si>
    <t>TRAVEL-COS to BRU Franfurt to COS</t>
  </si>
  <si>
    <t>TRAVEL-From BR to FR - FR to AFG - AFG to FR</t>
  </si>
  <si>
    <t xml:space="preserve">(18 days x 232/day) </t>
  </si>
  <si>
    <t>LODGING in AFG</t>
  </si>
  <si>
    <t>ODC Premier 1 Yr RMX2000</t>
  </si>
  <si>
    <t>ODC Premier 1 Yr CMA5000</t>
  </si>
  <si>
    <t>ODC Premier 1 Yr VBP</t>
  </si>
  <si>
    <t>ODC Premier 1 Yr DMA 7000 2 RMX License Pack</t>
  </si>
  <si>
    <t>ODC Premier 1 Yr DMA7000</t>
  </si>
  <si>
    <t>VMRX2540R</t>
  </si>
  <si>
    <t>Redundant Appliance and License</t>
  </si>
  <si>
    <t>CMA5000</t>
  </si>
  <si>
    <t>VBP 5300</t>
  </si>
  <si>
    <t>DMA 7000 RMX</t>
  </si>
  <si>
    <t>DMA 7000 Single Server</t>
  </si>
  <si>
    <t>2-post rail kit</t>
  </si>
  <si>
    <t>x</t>
  </si>
  <si>
    <t>VRMX2540R RMX2000 10 HD/40 CIF resource configured &amp; licensed</t>
  </si>
  <si>
    <t>system, equipped with MPM+40 Media Processing</t>
  </si>
  <si>
    <t>Module and a Rear Transition Module for IP (RTM IP).</t>
  </si>
  <si>
    <t>(Maintenance Contract Required)</t>
  </si>
  <si>
    <t>$77,500.00 45.0 % $42,625.00 $170,500.00 Hardware</t>
  </si>
  <si>
    <t>4 4870-00284-312 Premier, Three Year, RMX 2000, 10 HD/40 CIF base IP</t>
  </si>
  <si>
    <t>system</t>
  </si>
  <si>
    <t>$18,080.00 20.0 % $14,464.00 $57,856.00 Services</t>
  </si>
  <si>
    <t>4 4870-00284-007 Implementation service for RMX 2000, 10 HD/40 CIF</t>
  </si>
  <si>
    <t>$10,495.00 20.0 % $8,396.00 $33,584.00 Services</t>
  </si>
  <si>
    <t>4 5150-18200-500 RMX 2000/4000 Encryption License pack - restricted by</t>
  </si>
  <si>
    <t>destination countries</t>
  </si>
  <si>
    <t>0.0 0.0 % 0.0 $0.00 Software</t>
  </si>
  <si>
    <t>4 VCCP0102 RMX/MGC/RSS Power Cord 250VAC 2.3 Meter (8 ft)</t>
  </si>
  <si>
    <t>Europe</t>
  </si>
  <si>
    <t>0.0 0.0 % 0.0 $0.00 Hardware</t>
  </si>
  <si>
    <t>4 4865-50312-011 GF DDP USA, Canada, &amp; EU Countries (NSD 2) $900.00 0.0 % $900.00 $3,600.00 Shipping</t>
  </si>
  <si>
    <t>2 2200-77534-000 Redundant Appliance and license for any CMA 5000</t>
  </si>
  <si>
    <t>solution up to 5000 licenses. License for redundant</t>
  </si>
  <si>
    <t>solution included. CMA 5000 Redundant appliance</t>
  </si>
  <si>
    <t>cannot be used with CMA 4000.</t>
  </si>
  <si>
    <t>$31,000.00 40.0 % $18,600.00 $37,200.00 Hardware</t>
  </si>
  <si>
    <t>2 VSHP0025 RMX 1000, RMX 2000, RSS 4000, VMC 1000, MGC 25</t>
  </si>
  <si>
    <t>Shipping - for 1 system.</t>
  </si>
  <si>
    <t>$650.00 0.0 % $650.00 $1,300.00 Hardware</t>
  </si>
  <si>
    <t>2 2200-77530-000</t>
  </si>
  <si>
    <t xml:space="preserve">VRMX2540R </t>
  </si>
  <si>
    <t>RMX2000 10 HD/40 CIF resource configured &amp; licensed system, equipped with MPM+40 Media Processing Module (Maintenance Contract Required) and a Rear Transition Module for IP (RTM IP).</t>
  </si>
  <si>
    <t xml:space="preserve">4 4870-00284-007 </t>
  </si>
  <si>
    <t>Implementation service for RMX 2000, 10 HD/40 CIF system</t>
  </si>
  <si>
    <t xml:space="preserve">4 4870-00284-312 </t>
  </si>
  <si>
    <t>Premier, Three Year, RMX 2000, 10 HD/40 CIF base IP system</t>
  </si>
  <si>
    <t xml:space="preserve">4 5150-18200-500 </t>
  </si>
  <si>
    <t>RMX 2000/4000 Encryption License pack - restricted by destination countries</t>
  </si>
  <si>
    <t xml:space="preserve">4 VCCP0102 </t>
  </si>
  <si>
    <t>RMX/MGC/RSS Power Cord 250VAC 2.3 Meter (8 ft) Europe</t>
  </si>
  <si>
    <t xml:space="preserve">4 4865-50312-011 </t>
  </si>
  <si>
    <t>GF DDP USA, Canada, &amp; EU Countries (NSD 2)</t>
  </si>
  <si>
    <t xml:space="preserve">2 2200-77534-000 </t>
  </si>
  <si>
    <t>Redundant Appliance and license for any CMA 5000 solution up to 5000 licenses. License for redundant solution included. CMA 5000 Redundant appliance</t>
  </si>
</sst>
</file>

<file path=xl/styles.xml><?xml version="1.0" encoding="utf-8"?>
<styleSheet xmlns="http://schemas.openxmlformats.org/spreadsheetml/2006/main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  <numFmt numFmtId="168" formatCode="_(&quot;$&quot;* #,##0.00_);_(&quot;$&quot;* \(#,##0.00\);_(&quot;$&quot;* &quot;-&quot;_);_(@_)"/>
    <numFmt numFmtId="169" formatCode="_(* #,##0.00000_);_(* \(#,##0.00000\);_(* &quot;-&quot;??_);_(@_)"/>
    <numFmt numFmtId="170" formatCode="[$-409]mmmm\-yy;@"/>
  </numFmts>
  <fonts count="33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b/>
      <u/>
      <sz val="10"/>
      <color indexed="9"/>
      <name val="Arial"/>
      <family val="2"/>
    </font>
    <font>
      <sz val="10"/>
      <color indexed="22"/>
      <name val="Arial"/>
      <family val="2"/>
    </font>
    <font>
      <b/>
      <sz val="14"/>
      <color indexed="81"/>
      <name val="Tahoma"/>
      <family val="2"/>
    </font>
    <font>
      <sz val="8"/>
      <color indexed="81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9" fontId="1" fillId="0" borderId="0" applyFont="0" applyFill="0" applyBorder="0" applyAlignment="0" applyProtection="0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18" fillId="0" borderId="9">
      <alignment horizontal="center"/>
    </xf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</cellStyleXfs>
  <cellXfs count="220">
    <xf numFmtId="0" fontId="0" fillId="0" borderId="0" xfId="0"/>
    <xf numFmtId="0" fontId="22" fillId="0" borderId="11" xfId="0" applyFont="1" applyBorder="1"/>
    <xf numFmtId="167" fontId="22" fillId="0" borderId="12" xfId="0" applyNumberFormat="1" applyFont="1" applyBorder="1" applyAlignment="1">
      <alignment horizontal="center"/>
    </xf>
    <xf numFmtId="167" fontId="22" fillId="0" borderId="13" xfId="0" applyNumberFormat="1" applyFont="1" applyBorder="1" applyAlignment="1">
      <alignment horizontal="center"/>
    </xf>
    <xf numFmtId="0" fontId="1" fillId="0" borderId="0" xfId="0" applyFont="1"/>
    <xf numFmtId="0" fontId="23" fillId="0" borderId="0" xfId="0" applyFont="1" applyBorder="1"/>
    <xf numFmtId="167" fontId="23" fillId="0" borderId="0" xfId="0" applyNumberFormat="1" applyFont="1" applyBorder="1" applyAlignment="1">
      <alignment horizontal="center"/>
    </xf>
    <xf numFmtId="0" fontId="23" fillId="24" borderId="0" xfId="0" applyFont="1" applyFill="1"/>
    <xf numFmtId="167" fontId="23" fillId="24" borderId="0" xfId="0" applyNumberFormat="1" applyFont="1" applyFill="1" applyAlignment="1">
      <alignment horizontal="center"/>
    </xf>
    <xf numFmtId="170" fontId="23" fillId="0" borderId="14" xfId="0" applyNumberFormat="1" applyFont="1" applyFill="1" applyBorder="1" applyAlignment="1">
      <alignment horizontal="left"/>
    </xf>
    <xf numFmtId="167" fontId="1" fillId="25" borderId="14" xfId="0" applyNumberFormat="1" applyFont="1" applyFill="1" applyBorder="1" applyAlignment="1">
      <alignment horizontal="center"/>
    </xf>
    <xf numFmtId="167" fontId="1" fillId="0" borderId="14" xfId="0" applyNumberFormat="1" applyFont="1" applyBorder="1" applyAlignment="1">
      <alignment horizontal="center"/>
    </xf>
    <xf numFmtId="0" fontId="23" fillId="0" borderId="0" xfId="0" applyFont="1"/>
    <xf numFmtId="167" fontId="23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15" fillId="0" borderId="0" xfId="0" applyFont="1" applyFill="1" applyBorder="1"/>
    <xf numFmtId="0" fontId="15" fillId="0" borderId="15" xfId="0" applyFont="1" applyFill="1" applyBorder="1"/>
    <xf numFmtId="0" fontId="15" fillId="0" borderId="16" xfId="0" applyFont="1" applyFill="1" applyBorder="1" applyAlignment="1">
      <alignment horizontal="left"/>
    </xf>
    <xf numFmtId="0" fontId="15" fillId="0" borderId="16" xfId="0" applyFont="1" applyFill="1" applyBorder="1"/>
    <xf numFmtId="0" fontId="23" fillId="0" borderId="16" xfId="0" applyFont="1" applyFill="1" applyBorder="1"/>
    <xf numFmtId="0" fontId="15" fillId="0" borderId="17" xfId="0" applyFont="1" applyFill="1" applyBorder="1"/>
    <xf numFmtId="0" fontId="15" fillId="25" borderId="16" xfId="0" applyFont="1" applyFill="1" applyBorder="1"/>
    <xf numFmtId="0" fontId="15" fillId="0" borderId="18" xfId="0" applyFont="1" applyFill="1" applyBorder="1"/>
    <xf numFmtId="0" fontId="15" fillId="0" borderId="0" xfId="0" applyFont="1" applyFill="1"/>
    <xf numFmtId="0" fontId="15" fillId="0" borderId="19" xfId="0" applyFont="1" applyFill="1" applyBorder="1" applyAlignment="1">
      <alignment horizontal="center"/>
    </xf>
    <xf numFmtId="0" fontId="15" fillId="0" borderId="20" xfId="0" applyFont="1" applyFill="1" applyBorder="1"/>
    <xf numFmtId="0" fontId="15" fillId="0" borderId="21" xfId="0" applyFont="1" applyFill="1" applyBorder="1"/>
    <xf numFmtId="0" fontId="15" fillId="0" borderId="0" xfId="0" applyFont="1" applyFill="1" applyBorder="1" applyAlignment="1">
      <alignment horizontal="left"/>
    </xf>
    <xf numFmtId="0" fontId="15" fillId="0" borderId="22" xfId="0" applyFont="1" applyFill="1" applyBorder="1"/>
    <xf numFmtId="0" fontId="15" fillId="0" borderId="23" xfId="0" applyFont="1" applyFill="1" applyBorder="1" applyAlignment="1">
      <alignment horizontal="center"/>
    </xf>
    <xf numFmtId="0" fontId="15" fillId="0" borderId="24" xfId="0" applyFont="1" applyFill="1" applyBorder="1"/>
    <xf numFmtId="0" fontId="15" fillId="0" borderId="9" xfId="0" applyFont="1" applyFill="1" applyBorder="1" applyAlignment="1">
      <alignment horizontal="left"/>
    </xf>
    <xf numFmtId="0" fontId="15" fillId="0" borderId="9" xfId="0" applyFont="1" applyFill="1" applyBorder="1"/>
    <xf numFmtId="0" fontId="23" fillId="0" borderId="9" xfId="0" applyFont="1" applyFill="1" applyBorder="1"/>
    <xf numFmtId="0" fontId="15" fillId="0" borderId="25" xfId="0" applyFont="1" applyFill="1" applyBorder="1"/>
    <xf numFmtId="10" fontId="15" fillId="0" borderId="9" xfId="41" applyNumberFormat="1" applyFont="1" applyFill="1" applyBorder="1"/>
    <xf numFmtId="44" fontId="15" fillId="0" borderId="9" xfId="29" applyFont="1" applyFill="1" applyBorder="1"/>
    <xf numFmtId="0" fontId="15" fillId="0" borderId="26" xfId="0" applyFont="1" applyFill="1" applyBorder="1"/>
    <xf numFmtId="0" fontId="15" fillId="0" borderId="27" xfId="0" applyFont="1" applyFill="1" applyBorder="1" applyAlignment="1">
      <alignment horizontal="center"/>
    </xf>
    <xf numFmtId="0" fontId="23" fillId="0" borderId="0" xfId="0" applyFont="1" applyFill="1" applyBorder="1"/>
    <xf numFmtId="165" fontId="15" fillId="0" borderId="28" xfId="29" applyNumberFormat="1" applyFont="1" applyFill="1" applyBorder="1" applyAlignment="1"/>
    <xf numFmtId="0" fontId="15" fillId="0" borderId="28" xfId="0" applyFont="1" applyFill="1" applyBorder="1" applyAlignment="1">
      <alignment horizontal="center"/>
    </xf>
    <xf numFmtId="0" fontId="23" fillId="0" borderId="14" xfId="0" applyFont="1" applyFill="1" applyBorder="1" applyAlignment="1">
      <alignment horizontal="center"/>
    </xf>
    <xf numFmtId="0" fontId="23" fillId="0" borderId="21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29" xfId="0" applyFont="1" applyFill="1" applyBorder="1" applyAlignment="1">
      <alignment horizontal="center"/>
    </xf>
    <xf numFmtId="0" fontId="23" fillId="0" borderId="30" xfId="0" applyFont="1" applyFill="1" applyBorder="1" applyAlignment="1">
      <alignment horizontal="center"/>
    </xf>
    <xf numFmtId="0" fontId="23" fillId="0" borderId="19" xfId="0" applyFont="1" applyFill="1" applyBorder="1" applyAlignment="1">
      <alignment horizontal="center"/>
    </xf>
    <xf numFmtId="0" fontId="15" fillId="0" borderId="2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center"/>
    </xf>
    <xf numFmtId="0" fontId="15" fillId="0" borderId="31" xfId="0" applyFont="1" applyFill="1" applyBorder="1" applyAlignment="1">
      <alignment horizontal="center"/>
    </xf>
    <xf numFmtId="0" fontId="25" fillId="0" borderId="32" xfId="0" applyFont="1" applyFill="1" applyBorder="1" applyAlignment="1">
      <alignment horizontal="center"/>
    </xf>
    <xf numFmtId="0" fontId="25" fillId="0" borderId="31" xfId="0" applyFont="1" applyFill="1" applyBorder="1" applyAlignment="1">
      <alignment horizontal="center"/>
    </xf>
    <xf numFmtId="0" fontId="25" fillId="0" borderId="30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/>
    </xf>
    <xf numFmtId="0" fontId="15" fillId="0" borderId="30" xfId="0" applyFont="1" applyFill="1" applyBorder="1" applyAlignment="1">
      <alignment horizontal="center"/>
    </xf>
    <xf numFmtId="0" fontId="15" fillId="26" borderId="33" xfId="0" applyFont="1" applyFill="1" applyBorder="1" applyAlignment="1">
      <alignment horizontal="left"/>
    </xf>
    <xf numFmtId="14" fontId="15" fillId="0" borderId="34" xfId="0" applyNumberFormat="1" applyFont="1" applyFill="1" applyBorder="1" applyAlignment="1">
      <alignment horizontal="center"/>
    </xf>
    <xf numFmtId="14" fontId="15" fillId="0" borderId="14" xfId="0" applyNumberFormat="1" applyFont="1" applyFill="1" applyBorder="1" applyAlignment="1">
      <alignment horizontal="center"/>
    </xf>
    <xf numFmtId="14" fontId="15" fillId="0" borderId="0" xfId="0" applyNumberFormat="1" applyFont="1" applyFill="1" applyBorder="1" applyAlignment="1">
      <alignment horizontal="center"/>
    </xf>
    <xf numFmtId="0" fontId="15" fillId="0" borderId="29" xfId="0" applyFont="1" applyFill="1" applyBorder="1"/>
    <xf numFmtId="0" fontId="24" fillId="0" borderId="31" xfId="0" applyFont="1" applyFill="1" applyBorder="1" applyAlignment="1">
      <alignment horizontal="center"/>
    </xf>
    <xf numFmtId="0" fontId="24" fillId="0" borderId="32" xfId="0" applyFont="1" applyFill="1" applyBorder="1"/>
    <xf numFmtId="0" fontId="24" fillId="0" borderId="30" xfId="0" applyFont="1" applyFill="1" applyBorder="1" applyAlignment="1">
      <alignment horizontal="center"/>
    </xf>
    <xf numFmtId="0" fontId="24" fillId="0" borderId="32" xfId="0" applyFont="1" applyFill="1" applyBorder="1" applyAlignment="1">
      <alignment horizontal="center"/>
    </xf>
    <xf numFmtId="0" fontId="15" fillId="0" borderId="35" xfId="41" applyNumberFormat="1" applyFont="1" applyFill="1" applyBorder="1" applyAlignment="1">
      <alignment horizontal="center"/>
    </xf>
    <xf numFmtId="0" fontId="15" fillId="0" borderId="36" xfId="41" applyNumberFormat="1" applyFont="1" applyFill="1" applyBorder="1" applyAlignment="1">
      <alignment horizontal="center"/>
    </xf>
    <xf numFmtId="0" fontId="15" fillId="26" borderId="37" xfId="0" applyFont="1" applyFill="1" applyBorder="1"/>
    <xf numFmtId="10" fontId="15" fillId="0" borderId="38" xfId="41" applyNumberFormat="1" applyFont="1" applyFill="1" applyBorder="1" applyAlignment="1">
      <alignment horizontal="center"/>
    </xf>
    <xf numFmtId="169" fontId="15" fillId="0" borderId="38" xfId="28" applyNumberFormat="1" applyFont="1" applyFill="1" applyBorder="1" applyAlignment="1">
      <alignment horizontal="center"/>
    </xf>
    <xf numFmtId="10" fontId="15" fillId="26" borderId="38" xfId="41" applyNumberFormat="1" applyFont="1" applyFill="1" applyBorder="1"/>
    <xf numFmtId="10" fontId="15" fillId="0" borderId="38" xfId="41" applyNumberFormat="1" applyFont="1" applyFill="1" applyBorder="1"/>
    <xf numFmtId="44" fontId="15" fillId="26" borderId="38" xfId="29" applyFont="1" applyFill="1" applyBorder="1"/>
    <xf numFmtId="44" fontId="15" fillId="26" borderId="38" xfId="41" applyNumberFormat="1" applyFont="1" applyFill="1" applyBorder="1"/>
    <xf numFmtId="10" fontId="15" fillId="0" borderId="36" xfId="41" applyNumberFormat="1" applyFont="1" applyFill="1" applyBorder="1"/>
    <xf numFmtId="10" fontId="15" fillId="26" borderId="39" xfId="41" applyNumberFormat="1" applyFont="1" applyFill="1" applyBorder="1"/>
    <xf numFmtId="10" fontId="15" fillId="0" borderId="40" xfId="41" applyNumberFormat="1" applyFont="1" applyFill="1" applyBorder="1" applyAlignment="1">
      <alignment horizontal="center"/>
    </xf>
    <xf numFmtId="10" fontId="15" fillId="0" borderId="41" xfId="41" applyNumberFormat="1" applyFont="1" applyFill="1" applyBorder="1"/>
    <xf numFmtId="0" fontId="15" fillId="0" borderId="42" xfId="41" applyNumberFormat="1" applyFont="1" applyFill="1" applyBorder="1" applyAlignment="1">
      <alignment horizontal="center"/>
    </xf>
    <xf numFmtId="0" fontId="15" fillId="0" borderId="43" xfId="41" applyNumberFormat="1" applyFont="1" applyFill="1" applyBorder="1" applyAlignment="1">
      <alignment horizontal="center"/>
    </xf>
    <xf numFmtId="0" fontId="15" fillId="26" borderId="44" xfId="0" applyFont="1" applyFill="1" applyBorder="1"/>
    <xf numFmtId="10" fontId="15" fillId="26" borderId="45" xfId="41" applyNumberFormat="1" applyFont="1" applyFill="1" applyBorder="1"/>
    <xf numFmtId="10" fontId="15" fillId="0" borderId="43" xfId="41" applyNumberFormat="1" applyFont="1" applyFill="1" applyBorder="1"/>
    <xf numFmtId="10" fontId="15" fillId="26" borderId="46" xfId="41" applyNumberFormat="1" applyFont="1" applyFill="1" applyBorder="1"/>
    <xf numFmtId="10" fontId="15" fillId="0" borderId="44" xfId="41" applyNumberFormat="1" applyFont="1" applyFill="1" applyBorder="1" applyAlignment="1">
      <alignment horizontal="center"/>
    </xf>
    <xf numFmtId="169" fontId="15" fillId="0" borderId="45" xfId="28" applyNumberFormat="1" applyFont="1" applyFill="1" applyBorder="1" applyAlignment="1">
      <alignment horizontal="center"/>
    </xf>
    <xf numFmtId="10" fontId="15" fillId="0" borderId="45" xfId="41" applyNumberFormat="1" applyFont="1" applyFill="1" applyBorder="1"/>
    <xf numFmtId="10" fontId="15" fillId="0" borderId="46" xfId="41" applyNumberFormat="1" applyFont="1" applyFill="1" applyBorder="1"/>
    <xf numFmtId="10" fontId="15" fillId="0" borderId="45" xfId="41" applyNumberFormat="1" applyFont="1" applyFill="1" applyBorder="1" applyAlignment="1">
      <alignment horizontal="center"/>
    </xf>
    <xf numFmtId="0" fontId="15" fillId="26" borderId="40" xfId="0" applyFont="1" applyFill="1" applyBorder="1"/>
    <xf numFmtId="164" fontId="15" fillId="0" borderId="40" xfId="41" applyNumberFormat="1" applyFont="1" applyFill="1" applyBorder="1" applyAlignment="1">
      <alignment horizontal="center"/>
    </xf>
    <xf numFmtId="0" fontId="15" fillId="26" borderId="47" xfId="0" applyFont="1" applyFill="1" applyBorder="1"/>
    <xf numFmtId="10" fontId="15" fillId="0" borderId="48" xfId="41" applyNumberFormat="1" applyFont="1" applyFill="1" applyBorder="1" applyAlignment="1">
      <alignment horizontal="center"/>
    </xf>
    <xf numFmtId="169" fontId="15" fillId="0" borderId="48" xfId="28" applyNumberFormat="1" applyFont="1" applyFill="1" applyBorder="1" applyAlignment="1">
      <alignment horizontal="center"/>
    </xf>
    <xf numFmtId="10" fontId="15" fillId="0" borderId="48" xfId="41" applyNumberFormat="1" applyFont="1" applyFill="1" applyBorder="1"/>
    <xf numFmtId="10" fontId="15" fillId="0" borderId="49" xfId="41" applyNumberFormat="1" applyFont="1" applyFill="1" applyBorder="1"/>
    <xf numFmtId="10" fontId="15" fillId="26" borderId="48" xfId="41" applyNumberFormat="1" applyFont="1" applyFill="1" applyBorder="1"/>
    <xf numFmtId="10" fontId="15" fillId="0" borderId="50" xfId="41" applyNumberFormat="1" applyFont="1" applyFill="1" applyBorder="1"/>
    <xf numFmtId="10" fontId="15" fillId="26" borderId="51" xfId="41" applyNumberFormat="1" applyFont="1" applyFill="1" applyBorder="1"/>
    <xf numFmtId="164" fontId="15" fillId="0" borderId="47" xfId="41" applyNumberFormat="1" applyFont="1" applyFill="1" applyBorder="1" applyAlignment="1">
      <alignment horizontal="center"/>
    </xf>
    <xf numFmtId="10" fontId="15" fillId="0" borderId="51" xfId="41" applyNumberFormat="1" applyFont="1" applyFill="1" applyBorder="1"/>
    <xf numFmtId="10" fontId="15" fillId="0" borderId="52" xfId="41" applyNumberFormat="1" applyFont="1" applyFill="1" applyBorder="1" applyAlignment="1">
      <alignment horizontal="center"/>
    </xf>
    <xf numFmtId="169" fontId="15" fillId="0" borderId="52" xfId="28" applyNumberFormat="1" applyFont="1" applyFill="1" applyBorder="1" applyAlignment="1">
      <alignment horizontal="center"/>
    </xf>
    <xf numFmtId="10" fontId="15" fillId="0" borderId="52" xfId="41" applyNumberFormat="1" applyFont="1" applyFill="1" applyBorder="1"/>
    <xf numFmtId="10" fontId="15" fillId="26" borderId="52" xfId="41" applyNumberFormat="1" applyFont="1" applyFill="1" applyBorder="1"/>
    <xf numFmtId="10" fontId="15" fillId="0" borderId="53" xfId="41" applyNumberFormat="1" applyFont="1" applyFill="1" applyBorder="1"/>
    <xf numFmtId="164" fontId="15" fillId="0" borderId="37" xfId="41" applyNumberFormat="1" applyFont="1" applyFill="1" applyBorder="1" applyAlignment="1">
      <alignment horizontal="center"/>
    </xf>
    <xf numFmtId="10" fontId="15" fillId="0" borderId="39" xfId="41" applyNumberFormat="1" applyFont="1" applyFill="1" applyBorder="1"/>
    <xf numFmtId="0" fontId="15" fillId="0" borderId="54" xfId="41" applyNumberFormat="1" applyFont="1" applyFill="1" applyBorder="1" applyAlignment="1">
      <alignment horizontal="center"/>
    </xf>
    <xf numFmtId="0" fontId="15" fillId="0" borderId="50" xfId="41" applyNumberFormat="1" applyFont="1" applyFill="1" applyBorder="1" applyAlignment="1">
      <alignment horizontal="center"/>
    </xf>
    <xf numFmtId="0" fontId="15" fillId="26" borderId="55" xfId="0" applyFont="1" applyFill="1" applyBorder="1"/>
    <xf numFmtId="10" fontId="15" fillId="0" borderId="56" xfId="41" applyNumberFormat="1" applyFont="1" applyFill="1" applyBorder="1" applyAlignment="1">
      <alignment horizontal="center"/>
    </xf>
    <xf numFmtId="169" fontId="15" fillId="0" borderId="56" xfId="28" applyNumberFormat="1" applyFont="1" applyFill="1" applyBorder="1" applyAlignment="1">
      <alignment horizontal="center"/>
    </xf>
    <xf numFmtId="10" fontId="15" fillId="0" borderId="56" xfId="41" applyNumberFormat="1" applyFont="1" applyFill="1" applyBorder="1"/>
    <xf numFmtId="10" fontId="15" fillId="0" borderId="57" xfId="41" applyNumberFormat="1" applyFont="1" applyFill="1" applyBorder="1"/>
    <xf numFmtId="10" fontId="15" fillId="26" borderId="56" xfId="41" applyNumberFormat="1" applyFont="1" applyFill="1" applyBorder="1"/>
    <xf numFmtId="10" fontId="15" fillId="0" borderId="58" xfId="41" applyNumberFormat="1" applyFont="1" applyFill="1" applyBorder="1"/>
    <xf numFmtId="10" fontId="15" fillId="26" borderId="59" xfId="41" applyNumberFormat="1" applyFont="1" applyFill="1" applyBorder="1"/>
    <xf numFmtId="164" fontId="15" fillId="0" borderId="55" xfId="41" applyNumberFormat="1" applyFont="1" applyFill="1" applyBorder="1" applyAlignment="1">
      <alignment horizontal="center"/>
    </xf>
    <xf numFmtId="10" fontId="15" fillId="0" borderId="59" xfId="41" applyNumberFormat="1" applyFont="1" applyFill="1" applyBorder="1"/>
    <xf numFmtId="0" fontId="15" fillId="0" borderId="60" xfId="0" applyFont="1" applyFill="1" applyBorder="1"/>
    <xf numFmtId="0" fontId="24" fillId="0" borderId="23" xfId="0" applyFont="1" applyFill="1" applyBorder="1" applyAlignment="1">
      <alignment horizontal="center"/>
    </xf>
    <xf numFmtId="0" fontId="26" fillId="0" borderId="29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31" xfId="0" applyFont="1" applyFill="1" applyBorder="1" applyAlignment="1">
      <alignment horizontal="center"/>
    </xf>
    <xf numFmtId="44" fontId="15" fillId="0" borderId="0" xfId="0" applyNumberFormat="1" applyFont="1" applyFill="1" applyBorder="1"/>
    <xf numFmtId="0" fontId="15" fillId="0" borderId="0" xfId="0" applyFont="1" applyFill="1" applyBorder="1" applyAlignment="1">
      <alignment horizontal="right"/>
    </xf>
    <xf numFmtId="0" fontId="24" fillId="0" borderId="0" xfId="0" applyFont="1" applyFill="1" applyAlignment="1">
      <alignment horizontal="center"/>
    </xf>
    <xf numFmtId="0" fontId="24" fillId="0" borderId="20" xfId="0" applyFont="1" applyFill="1" applyBorder="1"/>
    <xf numFmtId="0" fontId="24" fillId="0" borderId="0" xfId="0" applyFont="1" applyFill="1" applyBorder="1"/>
    <xf numFmtId="0" fontId="24" fillId="0" borderId="22" xfId="0" applyFont="1" applyFill="1" applyBorder="1" applyAlignment="1">
      <alignment horizontal="center"/>
    </xf>
    <xf numFmtId="0" fontId="24" fillId="0" borderId="0" xfId="0" applyFont="1" applyFill="1" applyAlignment="1">
      <alignment horizontal="right"/>
    </xf>
    <xf numFmtId="0" fontId="27" fillId="0" borderId="0" xfId="0" applyFont="1" applyFill="1" applyBorder="1"/>
    <xf numFmtId="0" fontId="28" fillId="27" borderId="11" xfId="0" applyFont="1" applyFill="1" applyBorder="1"/>
    <xf numFmtId="0" fontId="29" fillId="27" borderId="12" xfId="0" applyFont="1" applyFill="1" applyBorder="1"/>
    <xf numFmtId="0" fontId="27" fillId="27" borderId="12" xfId="0" applyFont="1" applyFill="1" applyBorder="1"/>
    <xf numFmtId="0" fontId="27" fillId="27" borderId="12" xfId="0" applyFont="1" applyFill="1" applyBorder="1" applyAlignment="1">
      <alignment horizontal="center"/>
    </xf>
    <xf numFmtId="0" fontId="29" fillId="27" borderId="12" xfId="0" applyFont="1" applyFill="1" applyBorder="1" applyAlignment="1">
      <alignment horizontal="right"/>
    </xf>
    <xf numFmtId="0" fontId="29" fillId="27" borderId="13" xfId="0" applyFont="1" applyFill="1" applyBorder="1" applyAlignment="1">
      <alignment horizontal="right"/>
    </xf>
    <xf numFmtId="0" fontId="29" fillId="27" borderId="12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166" fontId="15" fillId="0" borderId="20" xfId="28" applyNumberFormat="1" applyFont="1" applyFill="1" applyBorder="1"/>
    <xf numFmtId="0" fontId="15" fillId="26" borderId="0" xfId="0" applyFont="1" applyFill="1" applyBorder="1"/>
    <xf numFmtId="166" fontId="15" fillId="0" borderId="0" xfId="28" applyNumberFormat="1" applyFont="1" applyFill="1" applyBorder="1"/>
    <xf numFmtId="0" fontId="30" fillId="0" borderId="0" xfId="0" applyFont="1" applyFill="1" applyBorder="1"/>
    <xf numFmtId="41" fontId="15" fillId="26" borderId="0" xfId="0" applyNumberFormat="1" applyFont="1" applyFill="1" applyBorder="1"/>
    <xf numFmtId="165" fontId="15" fillId="0" borderId="22" xfId="0" applyNumberFormat="1" applyFont="1" applyFill="1" applyBorder="1"/>
    <xf numFmtId="42" fontId="15" fillId="0" borderId="0" xfId="0" applyNumberFormat="1" applyFont="1" applyFill="1"/>
    <xf numFmtId="42" fontId="15" fillId="0" borderId="0" xfId="0" applyNumberFormat="1" applyFont="1" applyFill="1" applyBorder="1"/>
    <xf numFmtId="168" fontId="15" fillId="0" borderId="0" xfId="0" applyNumberFormat="1" applyFont="1" applyFill="1"/>
    <xf numFmtId="168" fontId="15" fillId="0" borderId="0" xfId="0" applyNumberFormat="1" applyFont="1" applyFill="1" applyBorder="1"/>
    <xf numFmtId="166" fontId="15" fillId="0" borderId="61" xfId="28" applyNumberFormat="1" applyFont="1" applyFill="1" applyBorder="1"/>
    <xf numFmtId="0" fontId="15" fillId="0" borderId="28" xfId="0" applyFont="1" applyFill="1" applyBorder="1"/>
    <xf numFmtId="166" fontId="15" fillId="0" borderId="28" xfId="28" applyNumberFormat="1" applyFont="1" applyFill="1" applyBorder="1"/>
    <xf numFmtId="0" fontId="30" fillId="0" borderId="28" xfId="0" applyFont="1" applyFill="1" applyBorder="1"/>
    <xf numFmtId="0" fontId="15" fillId="26" borderId="28" xfId="0" applyFont="1" applyFill="1" applyBorder="1"/>
    <xf numFmtId="44" fontId="15" fillId="0" borderId="28" xfId="0" applyNumberFormat="1" applyFont="1" applyFill="1" applyBorder="1"/>
    <xf numFmtId="41" fontId="15" fillId="26" borderId="28" xfId="0" applyNumberFormat="1" applyFont="1" applyFill="1" applyBorder="1"/>
    <xf numFmtId="165" fontId="15" fillId="0" borderId="62" xfId="0" applyNumberFormat="1" applyFont="1" applyFill="1" applyBorder="1"/>
    <xf numFmtId="42" fontId="15" fillId="0" borderId="28" xfId="0" applyNumberFormat="1" applyFont="1" applyFill="1" applyBorder="1"/>
    <xf numFmtId="168" fontId="15" fillId="0" borderId="28" xfId="0" applyNumberFormat="1" applyFont="1" applyFill="1" applyBorder="1"/>
    <xf numFmtId="44" fontId="15" fillId="0" borderId="22" xfId="0" applyNumberFormat="1" applyFont="1" applyFill="1" applyBorder="1"/>
    <xf numFmtId="41" fontId="15" fillId="0" borderId="14" xfId="0" applyNumberFormat="1" applyFont="1" applyFill="1" applyBorder="1"/>
    <xf numFmtId="42" fontId="15" fillId="0" borderId="63" xfId="0" applyNumberFormat="1" applyFont="1" applyFill="1" applyBorder="1"/>
    <xf numFmtId="44" fontId="15" fillId="0" borderId="0" xfId="29" applyFont="1" applyFill="1" applyBorder="1"/>
    <xf numFmtId="42" fontId="15" fillId="0" borderId="22" xfId="0" applyNumberFormat="1" applyFont="1" applyFill="1" applyBorder="1"/>
    <xf numFmtId="0" fontId="15" fillId="0" borderId="14" xfId="0" applyFont="1" applyFill="1" applyBorder="1"/>
    <xf numFmtId="10" fontId="15" fillId="0" borderId="14" xfId="41" applyNumberFormat="1" applyFont="1" applyFill="1" applyBorder="1"/>
    <xf numFmtId="0" fontId="15" fillId="26" borderId="20" xfId="0" applyFont="1" applyFill="1" applyBorder="1"/>
    <xf numFmtId="165" fontId="15" fillId="0" borderId="0" xfId="0" applyNumberFormat="1" applyFont="1" applyFill="1" applyBorder="1"/>
    <xf numFmtId="165" fontId="15" fillId="0" borderId="0" xfId="0" applyNumberFormat="1" applyFont="1" applyFill="1"/>
    <xf numFmtId="0" fontId="23" fillId="26" borderId="20" xfId="0" applyFont="1" applyFill="1" applyBorder="1"/>
    <xf numFmtId="0" fontId="15" fillId="25" borderId="0" xfId="0" applyFont="1" applyFill="1" applyBorder="1"/>
    <xf numFmtId="0" fontId="15" fillId="0" borderId="61" xfId="0" applyFont="1" applyFill="1" applyBorder="1"/>
    <xf numFmtId="165" fontId="15" fillId="0" borderId="28" xfId="0" applyNumberFormat="1" applyFont="1" applyFill="1" applyBorder="1"/>
    <xf numFmtId="41" fontId="15" fillId="0" borderId="28" xfId="0" applyNumberFormat="1" applyFont="1" applyFill="1" applyBorder="1"/>
    <xf numFmtId="41" fontId="15" fillId="0" borderId="0" xfId="0" applyNumberFormat="1" applyFont="1" applyFill="1" applyBorder="1"/>
    <xf numFmtId="165" fontId="15" fillId="0" borderId="64" xfId="0" applyNumberFormat="1" applyFont="1" applyFill="1" applyBorder="1"/>
    <xf numFmtId="0" fontId="15" fillId="0" borderId="65" xfId="0" applyFont="1" applyFill="1" applyBorder="1"/>
    <xf numFmtId="0" fontId="15" fillId="0" borderId="66" xfId="0" applyFont="1" applyFill="1" applyBorder="1"/>
    <xf numFmtId="0" fontId="15" fillId="0" borderId="9" xfId="0" applyFont="1" applyFill="1" applyBorder="1" applyAlignment="1">
      <alignment horizontal="right"/>
    </xf>
    <xf numFmtId="41" fontId="15" fillId="0" borderId="67" xfId="0" applyNumberFormat="1" applyFont="1" applyFill="1" applyBorder="1"/>
    <xf numFmtId="42" fontId="15" fillId="0" borderId="68" xfId="0" applyNumberFormat="1" applyFont="1" applyFill="1" applyBorder="1"/>
    <xf numFmtId="0" fontId="23" fillId="0" borderId="14" xfId="0" applyFont="1" applyFill="1" applyBorder="1"/>
    <xf numFmtId="10" fontId="23" fillId="0" borderId="14" xfId="41" applyNumberFormat="1" applyFont="1" applyFill="1" applyBorder="1"/>
    <xf numFmtId="0" fontId="24" fillId="0" borderId="31" xfId="0" applyFont="1" applyFill="1" applyBorder="1"/>
    <xf numFmtId="0" fontId="15" fillId="0" borderId="31" xfId="0" applyFont="1" applyFill="1" applyBorder="1"/>
    <xf numFmtId="0" fontId="15" fillId="0" borderId="21" xfId="0" applyFont="1" applyFill="1" applyBorder="1" applyAlignment="1">
      <alignment horizontal="left" indent="1"/>
    </xf>
    <xf numFmtId="0" fontId="15" fillId="0" borderId="0" xfId="0" applyFont="1" applyFill="1" applyBorder="1" applyAlignment="1">
      <alignment horizontal="left" indent="1"/>
    </xf>
    <xf numFmtId="10" fontId="15" fillId="0" borderId="21" xfId="41" applyNumberFormat="1" applyFont="1" applyFill="1" applyBorder="1" applyAlignment="1">
      <alignment horizontal="center"/>
    </xf>
    <xf numFmtId="10" fontId="15" fillId="0" borderId="29" xfId="41" applyNumberFormat="1" applyFont="1" applyFill="1" applyBorder="1"/>
    <xf numFmtId="0" fontId="15" fillId="0" borderId="21" xfId="0" applyFont="1" applyFill="1" applyBorder="1" applyAlignment="1">
      <alignment horizontal="center"/>
    </xf>
    <xf numFmtId="41" fontId="15" fillId="0" borderId="21" xfId="0" applyNumberFormat="1" applyFont="1" applyFill="1" applyBorder="1"/>
    <xf numFmtId="42" fontId="15" fillId="0" borderId="29" xfId="0" applyNumberFormat="1" applyFont="1" applyFill="1" applyBorder="1"/>
    <xf numFmtId="0" fontId="15" fillId="0" borderId="0" xfId="0" applyFont="1" applyFill="1" applyAlignment="1">
      <alignment horizontal="right"/>
    </xf>
    <xf numFmtId="10" fontId="15" fillId="0" borderId="29" xfId="41" applyNumberFormat="1" applyFont="1" applyFill="1" applyBorder="1" applyAlignment="1">
      <alignment horizontal="center"/>
    </xf>
    <xf numFmtId="0" fontId="15" fillId="0" borderId="69" xfId="0" applyFont="1" applyFill="1" applyBorder="1"/>
    <xf numFmtId="0" fontId="15" fillId="0" borderId="70" xfId="0" applyFont="1" applyFill="1" applyBorder="1"/>
    <xf numFmtId="0" fontId="15" fillId="0" borderId="71" xfId="0" applyFont="1" applyFill="1" applyBorder="1" applyAlignment="1">
      <alignment horizontal="right"/>
    </xf>
    <xf numFmtId="0" fontId="15" fillId="0" borderId="71" xfId="0" applyFont="1" applyFill="1" applyBorder="1"/>
    <xf numFmtId="41" fontId="15" fillId="0" borderId="69" xfId="0" applyNumberFormat="1" applyFont="1" applyFill="1" applyBorder="1"/>
    <xf numFmtId="42" fontId="15" fillId="0" borderId="71" xfId="0" applyNumberFormat="1" applyFont="1" applyFill="1" applyBorder="1"/>
    <xf numFmtId="42" fontId="15" fillId="0" borderId="70" xfId="0" applyNumberFormat="1" applyFont="1" applyFill="1" applyBorder="1"/>
    <xf numFmtId="0" fontId="15" fillId="0" borderId="72" xfId="0" applyFont="1" applyFill="1" applyBorder="1"/>
    <xf numFmtId="0" fontId="15" fillId="0" borderId="73" xfId="0" applyFont="1" applyFill="1" applyBorder="1"/>
    <xf numFmtId="0" fontId="15" fillId="26" borderId="20" xfId="0" applyFont="1" applyFill="1" applyBorder="1"/>
    <xf numFmtId="165" fontId="15" fillId="25" borderId="22" xfId="0" applyNumberFormat="1" applyFont="1" applyFill="1" applyBorder="1"/>
    <xf numFmtId="0" fontId="15" fillId="25" borderId="20" xfId="0" applyFont="1" applyFill="1" applyBorder="1"/>
    <xf numFmtId="0" fontId="15" fillId="25" borderId="0" xfId="0" applyFont="1" applyFill="1" applyBorder="1"/>
    <xf numFmtId="165" fontId="15" fillId="25" borderId="0" xfId="0" applyNumberFormat="1" applyFont="1" applyFill="1" applyBorder="1"/>
    <xf numFmtId="41" fontId="15" fillId="25" borderId="0" xfId="0" applyNumberFormat="1" applyFont="1" applyFill="1" applyBorder="1"/>
    <xf numFmtId="0" fontId="15" fillId="0" borderId="0" xfId="0" applyFont="1" applyFill="1" applyBorder="1" applyAlignment="1">
      <alignment horizontal="left" wrapText="1"/>
    </xf>
    <xf numFmtId="0" fontId="15" fillId="0" borderId="29" xfId="0" applyFont="1" applyFill="1" applyBorder="1" applyAlignment="1">
      <alignment horizontal="left" wrapText="1"/>
    </xf>
    <xf numFmtId="0" fontId="15" fillId="28" borderId="14" xfId="0" applyFont="1" applyFill="1" applyBorder="1"/>
    <xf numFmtId="41" fontId="15" fillId="28" borderId="14" xfId="0" applyNumberFormat="1" applyFont="1" applyFill="1" applyBorder="1"/>
    <xf numFmtId="0" fontId="15" fillId="0" borderId="14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5" fillId="0" borderId="0" xfId="0" applyFont="1" applyAlignment="1">
      <alignment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Percent" xfId="41" builtinId="5"/>
    <cellStyle name="PSChar" xfId="42"/>
    <cellStyle name="PSDate" xfId="43"/>
    <cellStyle name="PSDec" xfId="44"/>
    <cellStyle name="PSHeading" xfId="45"/>
    <cellStyle name="Title" xfId="46" builtinId="15" customBuiltin="1"/>
    <cellStyle name="Total" xfId="47" builtinId="25" customBuiltin="1"/>
    <cellStyle name="Warning Text" xfId="48" builtinId="11" customBuiltin="1"/>
  </cellStyles>
  <dxfs count="1">
    <dxf>
      <font>
        <b/>
        <i val="0"/>
        <condense val="0"/>
        <extend val="0"/>
        <color indexed="10"/>
      </font>
      <fill>
        <patternFill>
          <bgColor indexed="42"/>
        </patternFill>
      </fill>
    </dxf>
  </dxfs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3.xml" />
  <Relationship Id="rId5" Type="http://schemas.openxmlformats.org/officeDocument/2006/relationships/externalLink" Target="externalLinks/externalLink2.xml" />
  <Relationship Id="rId10" Type="http://schemas.openxmlformats.org/officeDocument/2006/relationships/calcChain" Target="calcChain.xml" />
  <Relationship Id="rId4" Type="http://schemas.openxmlformats.org/officeDocument/2006/relationships/externalLink" Target="externalLinks/externalLink1.xml" />
  <Relationship Id="rId9" Type="http://schemas.openxmlformats.org/officeDocument/2006/relationships/sharedStrings" Target="sharedStrings.xml" />
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te.mantech.com/Price2/Submitted%20Proposals/56321%20-%20Landstuhl/Pricing%20Scenes/Pricing%20Scene%201/Price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eschoenfelt/Local%20Settings/Temporary%20Internet%20Files/Content.Outlook/JDUK6J3G/Cost%20Model%20Template%20(NATO%20SHAPE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te.mantech.com/Price2/Submitted%20Proposals/56295%20-%20SPAWAR%20C4ISR/Pricing%20Scenes/Pricing%206/MADG%20-%20Prime/Price%20Model%20-%20MADG%20(Final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Sheet"/>
      <sheetName val="Summary"/>
      <sheetName val="Phase-In"/>
      <sheetName val="Base Period"/>
      <sheetName val="Option 1"/>
      <sheetName val="Option 2"/>
      <sheetName val="Option 3"/>
      <sheetName val="Option 4"/>
      <sheetName val="Total All Yrs"/>
      <sheetName val="Site Diff"/>
      <sheetName val="ReloBreakdown"/>
      <sheetName val="ReloDetail"/>
      <sheetName val="Schooling"/>
      <sheetName val="Bonus"/>
      <sheetName val="Office Equip"/>
      <sheetName val="OT Rate Summary"/>
      <sheetName val="Phase-In RateBuildUp"/>
      <sheetName val="Base RateBuildUp"/>
      <sheetName val="Opt 1 RateBuildUp"/>
      <sheetName val="Opt 2 RateBuildUp"/>
      <sheetName val="Opt 3 RateBuildUp"/>
      <sheetName val="Opt 4 RateBuildUp"/>
      <sheetName val="Indirects"/>
      <sheetName val="Indirects (IS)"/>
      <sheetName val="Ratebook"/>
    </sheetNames>
    <sheetDataSet>
      <sheetData sheetId="0" refreshError="1">
        <row r="11">
          <cell r="B11" t="str">
            <v>Phase-In</v>
          </cell>
          <cell r="C11">
            <v>38139</v>
          </cell>
          <cell r="D11">
            <v>38168</v>
          </cell>
        </row>
        <row r="12">
          <cell r="B12" t="str">
            <v>Base Period</v>
          </cell>
          <cell r="C12">
            <v>38169</v>
          </cell>
          <cell r="D12">
            <v>38411</v>
          </cell>
        </row>
        <row r="13">
          <cell r="B13" t="str">
            <v>Option 1</v>
          </cell>
          <cell r="C13">
            <v>38412</v>
          </cell>
          <cell r="D13">
            <v>38776</v>
          </cell>
        </row>
        <row r="14">
          <cell r="B14" t="str">
            <v>Option 2</v>
          </cell>
          <cell r="C14">
            <v>38777</v>
          </cell>
          <cell r="D14">
            <v>39141</v>
          </cell>
        </row>
        <row r="15">
          <cell r="B15" t="str">
            <v>Option 3</v>
          </cell>
          <cell r="C15">
            <v>39142</v>
          </cell>
          <cell r="D15">
            <v>39507</v>
          </cell>
        </row>
        <row r="16">
          <cell r="B16" t="str">
            <v>Option 4</v>
          </cell>
          <cell r="C16">
            <v>39508</v>
          </cell>
          <cell r="D16">
            <v>39872</v>
          </cell>
        </row>
        <row r="21">
          <cell r="C21">
            <v>2004</v>
          </cell>
          <cell r="D21">
            <v>2005</v>
          </cell>
          <cell r="E21">
            <v>2006</v>
          </cell>
          <cell r="F21">
            <v>2007</v>
          </cell>
          <cell r="G21">
            <v>2008</v>
          </cell>
          <cell r="H21">
            <v>2009</v>
          </cell>
          <cell r="I21">
            <v>2010</v>
          </cell>
          <cell r="J21">
            <v>2011</v>
          </cell>
          <cell r="K21">
            <v>2011</v>
          </cell>
        </row>
        <row r="23">
          <cell r="B23" t="str">
            <v>Payroll Burden</v>
          </cell>
        </row>
        <row r="24">
          <cell r="B24" t="str">
            <v>Overhead - Offsite</v>
          </cell>
        </row>
        <row r="25">
          <cell r="B25" t="str">
            <v>Overhead - Onsite</v>
          </cell>
        </row>
        <row r="26">
          <cell r="B26" t="str">
            <v>Material Handling</v>
          </cell>
        </row>
        <row r="27">
          <cell r="B27" t="str">
            <v>G&amp;A</v>
          </cell>
        </row>
        <row r="28">
          <cell r="B28" t="str">
            <v>FCCOM - Off OH</v>
          </cell>
        </row>
        <row r="29">
          <cell r="B29" t="str">
            <v>FCCOM - On OH</v>
          </cell>
        </row>
        <row r="30">
          <cell r="B30" t="str">
            <v>FCCOM - G&amp;A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War Risk"/>
      <sheetName val="DL_4_1_10"/>
      <sheetName val="InputSheet"/>
      <sheetName val="Esc Code"/>
      <sheetName val="Indirect Lookup"/>
      <sheetName val="T&amp;M1"/>
      <sheetName val="CPFF"/>
      <sheetName val="WBS1"/>
      <sheetName val="WBS Staffing1"/>
      <sheetName val="WBS Task Descriptions"/>
      <sheetName val="GSA - Price Analysis"/>
      <sheetName val="GSA - Submittal"/>
      <sheetName val="Sub Rates"/>
      <sheetName val="Price Analysis &quot;Sub-1&quot;"/>
      <sheetName val="Indirects"/>
    </sheetNames>
    <sheetDataSet>
      <sheetData sheetId="0"/>
      <sheetData sheetId="1"/>
      <sheetData sheetId="2">
        <row r="173">
          <cell r="B173">
            <v>1</v>
          </cell>
          <cell r="C173" t="str">
            <v>Project Manager</v>
          </cell>
          <cell r="F173" t="str">
            <v>Schoenfelt,Stephen E.</v>
          </cell>
          <cell r="G173">
            <v>40.619999999999997</v>
          </cell>
        </row>
        <row r="174">
          <cell r="B174">
            <v>2</v>
          </cell>
          <cell r="C174" t="str">
            <v>Project Manager</v>
          </cell>
          <cell r="F174" t="str">
            <v>Schoenfelt,Stephen E.</v>
          </cell>
          <cell r="G174">
            <v>40.619999999999997</v>
          </cell>
        </row>
        <row r="175">
          <cell r="B175">
            <v>3</v>
          </cell>
          <cell r="C175" t="str">
            <v>Project Manager NON Bill</v>
          </cell>
          <cell r="F175" t="str">
            <v>Schoenfelt,Stephen E.</v>
          </cell>
          <cell r="G175">
            <v>40.619999999999997</v>
          </cell>
        </row>
        <row r="176">
          <cell r="B176">
            <v>4</v>
          </cell>
          <cell r="C176" t="str">
            <v>Software Developer, Staff</v>
          </cell>
          <cell r="F176" t="str">
            <v>McDermott,Brian W</v>
          </cell>
          <cell r="G176">
            <v>38.67</v>
          </cell>
        </row>
        <row r="177">
          <cell r="B177">
            <v>5</v>
          </cell>
          <cell r="C177" t="str">
            <v>Software Developer, Staff</v>
          </cell>
          <cell r="F177" t="str">
            <v>McDermott,Brian W</v>
          </cell>
          <cell r="G177">
            <v>38.67</v>
          </cell>
        </row>
        <row r="178">
          <cell r="B178">
            <v>6</v>
          </cell>
          <cell r="C178" t="str">
            <v>Prog Financial Analyst, Senior</v>
          </cell>
          <cell r="F178" t="str">
            <v>Little,MaryJane V</v>
          </cell>
          <cell r="G178">
            <v>30.59</v>
          </cell>
        </row>
        <row r="179">
          <cell r="B179">
            <v>7</v>
          </cell>
          <cell r="C179" t="str">
            <v>Category 7</v>
          </cell>
          <cell r="F179">
            <v>0</v>
          </cell>
          <cell r="G179">
            <v>0</v>
          </cell>
        </row>
        <row r="180">
          <cell r="B180">
            <v>8</v>
          </cell>
          <cell r="C180" t="str">
            <v>Category 8</v>
          </cell>
          <cell r="F180">
            <v>0</v>
          </cell>
          <cell r="G180">
            <v>0</v>
          </cell>
        </row>
        <row r="181">
          <cell r="B181">
            <v>9</v>
          </cell>
          <cell r="C181" t="str">
            <v>Category 9</v>
          </cell>
          <cell r="F181">
            <v>0</v>
          </cell>
          <cell r="G181">
            <v>0</v>
          </cell>
        </row>
        <row r="182">
          <cell r="B182">
            <v>10</v>
          </cell>
          <cell r="C182" t="str">
            <v>Category 10</v>
          </cell>
          <cell r="F182">
            <v>0</v>
          </cell>
          <cell r="G182">
            <v>0</v>
          </cell>
        </row>
        <row r="183">
          <cell r="B183">
            <v>11</v>
          </cell>
          <cell r="C183" t="str">
            <v>Category 11</v>
          </cell>
          <cell r="F183">
            <v>0</v>
          </cell>
          <cell r="G183">
            <v>0</v>
          </cell>
        </row>
        <row r="184">
          <cell r="B184">
            <v>12</v>
          </cell>
          <cell r="C184" t="str">
            <v>Category 12</v>
          </cell>
          <cell r="F184">
            <v>0</v>
          </cell>
          <cell r="G184">
            <v>0</v>
          </cell>
        </row>
        <row r="185">
          <cell r="B185">
            <v>13</v>
          </cell>
          <cell r="C185" t="str">
            <v>Category 13</v>
          </cell>
          <cell r="F185">
            <v>0</v>
          </cell>
          <cell r="G185">
            <v>0</v>
          </cell>
        </row>
        <row r="186">
          <cell r="B186">
            <v>14</v>
          </cell>
          <cell r="C186" t="str">
            <v>Category 14</v>
          </cell>
          <cell r="F186">
            <v>0</v>
          </cell>
          <cell r="G186">
            <v>0</v>
          </cell>
        </row>
        <row r="187">
          <cell r="B187">
            <v>15</v>
          </cell>
          <cell r="C187" t="str">
            <v>Category 15</v>
          </cell>
          <cell r="F187">
            <v>0</v>
          </cell>
          <cell r="G187">
            <v>0</v>
          </cell>
        </row>
        <row r="188">
          <cell r="B188">
            <v>16</v>
          </cell>
          <cell r="C188" t="str">
            <v>Category 16</v>
          </cell>
          <cell r="F188">
            <v>0</v>
          </cell>
          <cell r="G188">
            <v>0</v>
          </cell>
        </row>
        <row r="189">
          <cell r="B189">
            <v>17</v>
          </cell>
          <cell r="C189" t="str">
            <v>Category 17</v>
          </cell>
          <cell r="F189">
            <v>0</v>
          </cell>
          <cell r="G189">
            <v>0</v>
          </cell>
        </row>
        <row r="190">
          <cell r="B190">
            <v>18</v>
          </cell>
          <cell r="C190" t="str">
            <v>Category 18</v>
          </cell>
          <cell r="F190">
            <v>0</v>
          </cell>
          <cell r="G190">
            <v>0</v>
          </cell>
        </row>
        <row r="191">
          <cell r="B191">
            <v>19</v>
          </cell>
          <cell r="C191" t="str">
            <v>Category 19</v>
          </cell>
          <cell r="F191">
            <v>0</v>
          </cell>
          <cell r="G191">
            <v>0</v>
          </cell>
        </row>
        <row r="192">
          <cell r="B192">
            <v>20</v>
          </cell>
          <cell r="C192" t="str">
            <v>Category 20</v>
          </cell>
          <cell r="F192">
            <v>0</v>
          </cell>
          <cell r="G192">
            <v>0</v>
          </cell>
        </row>
        <row r="193">
          <cell r="B193">
            <v>21</v>
          </cell>
          <cell r="C193" t="str">
            <v>Category 21</v>
          </cell>
          <cell r="F193">
            <v>0</v>
          </cell>
          <cell r="G193">
            <v>0</v>
          </cell>
        </row>
        <row r="194">
          <cell r="B194">
            <v>22</v>
          </cell>
          <cell r="C194" t="str">
            <v>Category 22</v>
          </cell>
          <cell r="F194">
            <v>0</v>
          </cell>
          <cell r="G194">
            <v>0</v>
          </cell>
        </row>
        <row r="195">
          <cell r="B195">
            <v>23</v>
          </cell>
          <cell r="C195" t="str">
            <v>Category 23</v>
          </cell>
          <cell r="F195">
            <v>0</v>
          </cell>
          <cell r="G195">
            <v>0</v>
          </cell>
        </row>
        <row r="196">
          <cell r="B196">
            <v>24</v>
          </cell>
          <cell r="C196" t="str">
            <v>Category 24</v>
          </cell>
          <cell r="F196">
            <v>0</v>
          </cell>
          <cell r="G196">
            <v>0</v>
          </cell>
        </row>
        <row r="197">
          <cell r="B197">
            <v>25</v>
          </cell>
          <cell r="C197" t="str">
            <v>Category 25</v>
          </cell>
          <cell r="F197">
            <v>0</v>
          </cell>
          <cell r="G197">
            <v>0</v>
          </cell>
        </row>
        <row r="198">
          <cell r="B198">
            <v>26</v>
          </cell>
          <cell r="C198" t="str">
            <v>Category 26</v>
          </cell>
          <cell r="F198">
            <v>0</v>
          </cell>
          <cell r="G198">
            <v>0</v>
          </cell>
        </row>
        <row r="199">
          <cell r="B199">
            <v>27</v>
          </cell>
          <cell r="C199" t="str">
            <v>Category 27</v>
          </cell>
          <cell r="F199">
            <v>0</v>
          </cell>
          <cell r="G199">
            <v>0</v>
          </cell>
        </row>
        <row r="200">
          <cell r="B200">
            <v>28</v>
          </cell>
          <cell r="C200" t="str">
            <v>Category 28</v>
          </cell>
          <cell r="F200">
            <v>0</v>
          </cell>
          <cell r="G200">
            <v>0</v>
          </cell>
        </row>
        <row r="201">
          <cell r="B201">
            <v>29</v>
          </cell>
          <cell r="C201" t="str">
            <v>Category 29</v>
          </cell>
          <cell r="F201">
            <v>0</v>
          </cell>
          <cell r="G201">
            <v>0</v>
          </cell>
        </row>
        <row r="202">
          <cell r="B202">
            <v>30</v>
          </cell>
          <cell r="C202" t="str">
            <v>Category 30</v>
          </cell>
          <cell r="F202">
            <v>0</v>
          </cell>
          <cell r="G202">
            <v>0</v>
          </cell>
        </row>
        <row r="203">
          <cell r="B203">
            <v>31</v>
          </cell>
          <cell r="C203" t="str">
            <v>Category 31</v>
          </cell>
          <cell r="F203">
            <v>0</v>
          </cell>
          <cell r="G203">
            <v>0</v>
          </cell>
        </row>
        <row r="204">
          <cell r="B204">
            <v>32</v>
          </cell>
          <cell r="C204" t="str">
            <v>Category 32</v>
          </cell>
          <cell r="F204">
            <v>0</v>
          </cell>
          <cell r="G204">
            <v>0</v>
          </cell>
        </row>
        <row r="205">
          <cell r="B205">
            <v>33</v>
          </cell>
          <cell r="C205" t="str">
            <v>Category 33</v>
          </cell>
          <cell r="F205">
            <v>0</v>
          </cell>
          <cell r="G205">
            <v>0</v>
          </cell>
        </row>
        <row r="206">
          <cell r="B206">
            <v>34</v>
          </cell>
          <cell r="C206" t="str">
            <v>Category 34</v>
          </cell>
          <cell r="F206">
            <v>0</v>
          </cell>
          <cell r="G206">
            <v>0</v>
          </cell>
        </row>
        <row r="207">
          <cell r="B207">
            <v>35</v>
          </cell>
          <cell r="C207" t="str">
            <v>Category 35</v>
          </cell>
          <cell r="F207">
            <v>0</v>
          </cell>
          <cell r="G207">
            <v>0</v>
          </cell>
        </row>
        <row r="208">
          <cell r="B208">
            <v>36</v>
          </cell>
          <cell r="C208" t="str">
            <v>Category 36</v>
          </cell>
          <cell r="F208">
            <v>0</v>
          </cell>
          <cell r="G208">
            <v>0</v>
          </cell>
        </row>
        <row r="209">
          <cell r="B209">
            <v>37</v>
          </cell>
          <cell r="C209" t="str">
            <v>Category 37</v>
          </cell>
          <cell r="F209">
            <v>0</v>
          </cell>
          <cell r="G209">
            <v>0</v>
          </cell>
        </row>
        <row r="210">
          <cell r="B210">
            <v>38</v>
          </cell>
          <cell r="C210" t="str">
            <v>Category 38</v>
          </cell>
          <cell r="F210">
            <v>0</v>
          </cell>
          <cell r="G210">
            <v>0</v>
          </cell>
        </row>
        <row r="211">
          <cell r="B211">
            <v>39</v>
          </cell>
          <cell r="C211" t="str">
            <v>Category 39</v>
          </cell>
          <cell r="F211">
            <v>0</v>
          </cell>
          <cell r="G211">
            <v>0</v>
          </cell>
        </row>
        <row r="212">
          <cell r="B212">
            <v>40</v>
          </cell>
          <cell r="C212" t="str">
            <v>Category 40</v>
          </cell>
          <cell r="F212">
            <v>0</v>
          </cell>
          <cell r="G212">
            <v>0</v>
          </cell>
        </row>
        <row r="213">
          <cell r="B213">
            <v>41</v>
          </cell>
          <cell r="C213" t="str">
            <v>Category 41</v>
          </cell>
          <cell r="F213">
            <v>0</v>
          </cell>
          <cell r="G213">
            <v>0</v>
          </cell>
        </row>
        <row r="214">
          <cell r="B214">
            <v>42</v>
          </cell>
          <cell r="C214" t="str">
            <v>Category 42</v>
          </cell>
          <cell r="F214">
            <v>0</v>
          </cell>
          <cell r="G214">
            <v>0</v>
          </cell>
        </row>
        <row r="215">
          <cell r="B215">
            <v>43</v>
          </cell>
          <cell r="C215" t="str">
            <v>Category 43</v>
          </cell>
          <cell r="F215">
            <v>0</v>
          </cell>
          <cell r="G215">
            <v>0</v>
          </cell>
        </row>
        <row r="216">
          <cell r="B216">
            <v>44</v>
          </cell>
          <cell r="C216" t="str">
            <v>Category 44</v>
          </cell>
          <cell r="F216">
            <v>0</v>
          </cell>
          <cell r="G216">
            <v>0</v>
          </cell>
        </row>
        <row r="217">
          <cell r="B217">
            <v>45</v>
          </cell>
          <cell r="C217" t="str">
            <v>Category 45</v>
          </cell>
          <cell r="F217">
            <v>0</v>
          </cell>
          <cell r="G217">
            <v>0</v>
          </cell>
        </row>
        <row r="218">
          <cell r="B218">
            <v>46</v>
          </cell>
          <cell r="C218" t="str">
            <v>Category 46</v>
          </cell>
          <cell r="F218">
            <v>0</v>
          </cell>
          <cell r="G218">
            <v>0</v>
          </cell>
        </row>
        <row r="219">
          <cell r="B219">
            <v>47</v>
          </cell>
          <cell r="C219" t="str">
            <v>Category 47</v>
          </cell>
          <cell r="F219">
            <v>0</v>
          </cell>
          <cell r="G219">
            <v>0</v>
          </cell>
        </row>
        <row r="220">
          <cell r="B220">
            <v>48</v>
          </cell>
          <cell r="C220" t="str">
            <v>Category 48</v>
          </cell>
          <cell r="F220">
            <v>0</v>
          </cell>
          <cell r="G220">
            <v>0</v>
          </cell>
        </row>
        <row r="221">
          <cell r="B221">
            <v>49</v>
          </cell>
          <cell r="C221" t="str">
            <v>Category 49</v>
          </cell>
          <cell r="F221">
            <v>0</v>
          </cell>
          <cell r="G221">
            <v>0</v>
          </cell>
        </row>
        <row r="222">
          <cell r="B222">
            <v>50</v>
          </cell>
          <cell r="C222" t="str">
            <v>Category 50</v>
          </cell>
          <cell r="F222">
            <v>0</v>
          </cell>
          <cell r="G22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AL11" t="str">
            <v>LOOKUP TABLE - DO NOT DELETE</v>
          </cell>
        </row>
        <row r="12">
          <cell r="AL12" t="str">
            <v>Base YearISPRBContr/Govt</v>
          </cell>
          <cell r="AM12">
            <v>0.3125</v>
          </cell>
        </row>
        <row r="13">
          <cell r="AL13" t="str">
            <v>Base YearISOverheadContr</v>
          </cell>
          <cell r="AM13">
            <v>0.15</v>
          </cell>
        </row>
        <row r="14">
          <cell r="AL14" t="str">
            <v>Base YearISOverheadGovt</v>
          </cell>
          <cell r="AM14">
            <v>0.02</v>
          </cell>
        </row>
        <row r="15">
          <cell r="AL15" t="str">
            <v>Base YearISMHContr/Govt</v>
          </cell>
          <cell r="AM15">
            <v>0.03</v>
          </cell>
        </row>
        <row r="16">
          <cell r="AL16" t="str">
            <v>Base YearISG&amp;AContr/Govt</v>
          </cell>
          <cell r="AM16">
            <v>9.7500000000000003E-2</v>
          </cell>
        </row>
        <row r="17">
          <cell r="AL17" t="str">
            <v>Base YearISTBD1Contr/Govt</v>
          </cell>
          <cell r="AM17">
            <v>0</v>
          </cell>
        </row>
        <row r="18">
          <cell r="AL18" t="str">
            <v>Base YearISTBD2Contr/Govt</v>
          </cell>
          <cell r="AM18">
            <v>0</v>
          </cell>
        </row>
        <row r="19">
          <cell r="AL19" t="str">
            <v>Base YearISTBD3Contr/Govt</v>
          </cell>
          <cell r="AM19">
            <v>0</v>
          </cell>
        </row>
        <row r="24">
          <cell r="AL24" t="str">
            <v>Option Year 1ISPRBContr/Govt</v>
          </cell>
          <cell r="AM24">
            <v>0.3125</v>
          </cell>
        </row>
        <row r="25">
          <cell r="AL25" t="str">
            <v>Option Year 1ISOverheadContr</v>
          </cell>
          <cell r="AM25">
            <v>0.15</v>
          </cell>
        </row>
        <row r="26">
          <cell r="AL26" t="str">
            <v>Option Year 1ISOverheadGovt</v>
          </cell>
          <cell r="AM26">
            <v>0.02</v>
          </cell>
        </row>
        <row r="27">
          <cell r="AL27" t="str">
            <v>Option Year 1ISMHContr/Govt</v>
          </cell>
          <cell r="AM27">
            <v>2.9499999999999998E-2</v>
          </cell>
        </row>
        <row r="28">
          <cell r="AL28" t="str">
            <v>Option Year 1ISG&amp;AContr/Govt</v>
          </cell>
          <cell r="AM28">
            <v>9.5799999999999996E-2</v>
          </cell>
        </row>
        <row r="29">
          <cell r="AL29" t="str">
            <v>Option Year 1ISTBD1Contr/Govt</v>
          </cell>
          <cell r="AM29">
            <v>0</v>
          </cell>
        </row>
        <row r="30">
          <cell r="AL30" t="str">
            <v>Option Year 1ISTBD2Contr/Govt</v>
          </cell>
          <cell r="AM30">
            <v>0</v>
          </cell>
        </row>
        <row r="31">
          <cell r="AL31" t="str">
            <v>Option Year 1ISTBD3Contr/Govt</v>
          </cell>
          <cell r="AM31">
            <v>0</v>
          </cell>
        </row>
        <row r="36">
          <cell r="AL36" t="str">
            <v>Option Year 2ISPRBContr/Govt</v>
          </cell>
          <cell r="AM36">
            <v>0.3125</v>
          </cell>
        </row>
        <row r="37">
          <cell r="AL37" t="str">
            <v>Option Year 2ISOverheadContr</v>
          </cell>
          <cell r="AM37">
            <v>0.15</v>
          </cell>
        </row>
        <row r="38">
          <cell r="AL38" t="str">
            <v>Option Year 2ISOverheadGovt</v>
          </cell>
          <cell r="AM38">
            <v>0.02</v>
          </cell>
        </row>
        <row r="39">
          <cell r="AL39" t="str">
            <v>Option Year 2ISMHContr/Govt</v>
          </cell>
          <cell r="AM39">
            <v>2.8899999999999999E-2</v>
          </cell>
        </row>
        <row r="40">
          <cell r="AL40" t="str">
            <v>Option Year 2ISG&amp;AContr/Govt</v>
          </cell>
          <cell r="AM40">
            <v>9.3399999999999997E-2</v>
          </cell>
        </row>
        <row r="41">
          <cell r="AL41" t="str">
            <v>Option Year 2ISTBD1Contr/Govt</v>
          </cell>
          <cell r="AM41">
            <v>0</v>
          </cell>
        </row>
        <row r="42">
          <cell r="AL42" t="str">
            <v>Option Year 2ISTBD2Contr/Govt</v>
          </cell>
          <cell r="AM42">
            <v>0</v>
          </cell>
        </row>
        <row r="43">
          <cell r="AL43" t="str">
            <v>Option Year 2ISTBD3Contr/Govt</v>
          </cell>
          <cell r="AM43">
            <v>0</v>
          </cell>
        </row>
        <row r="48">
          <cell r="AL48" t="str">
            <v>Option Year 3ISPRBContr/Govt</v>
          </cell>
          <cell r="AM48">
            <v>0.3125</v>
          </cell>
        </row>
        <row r="49">
          <cell r="AL49" t="str">
            <v>Option Year 3ISOverheadContr</v>
          </cell>
          <cell r="AM49">
            <v>0.15</v>
          </cell>
        </row>
        <row r="50">
          <cell r="AL50" t="str">
            <v>Option Year 3ISOverheadGovt</v>
          </cell>
          <cell r="AM50">
            <v>0.02</v>
          </cell>
        </row>
        <row r="51">
          <cell r="AL51" t="str">
            <v>Option Year 3ISMHContr/Govt</v>
          </cell>
          <cell r="AM51">
            <v>2.8299999999999999E-2</v>
          </cell>
        </row>
        <row r="52">
          <cell r="AL52" t="str">
            <v>Option Year 3ISG&amp;AContr/Govt</v>
          </cell>
          <cell r="AM52">
            <v>9.11E-2</v>
          </cell>
        </row>
        <row r="53">
          <cell r="AL53" t="str">
            <v>Option Year 3ISTBD1Contr/Govt</v>
          </cell>
          <cell r="AM53">
            <v>0</v>
          </cell>
        </row>
        <row r="54">
          <cell r="AL54" t="str">
            <v>Option Year 3ISTBD2Contr/Govt</v>
          </cell>
          <cell r="AM54">
            <v>0</v>
          </cell>
        </row>
        <row r="55">
          <cell r="AL55" t="str">
            <v>Option Year 3ISTBD3Contr/Govt</v>
          </cell>
          <cell r="AM55">
            <v>0</v>
          </cell>
        </row>
        <row r="60">
          <cell r="AL60" t="str">
            <v>Option Year 4ISPRBContr/Govt</v>
          </cell>
          <cell r="AM60">
            <v>0.3125</v>
          </cell>
        </row>
        <row r="61">
          <cell r="AL61" t="str">
            <v>Option Year 4ISOverheadContr</v>
          </cell>
          <cell r="AM61">
            <v>0.15</v>
          </cell>
        </row>
        <row r="62">
          <cell r="AL62" t="str">
            <v>Option Year 4ISOverheadGovt</v>
          </cell>
          <cell r="AM62">
            <v>0.02</v>
          </cell>
        </row>
        <row r="63">
          <cell r="AL63" t="str">
            <v>Option Year 4ISMHContr/Govt</v>
          </cell>
          <cell r="AM63">
            <v>2.7799999999999998E-2</v>
          </cell>
        </row>
        <row r="64">
          <cell r="AL64" t="str">
            <v>Option Year 4ISG&amp;AContr/Govt</v>
          </cell>
          <cell r="AM64">
            <v>8.8800000000000004E-2</v>
          </cell>
        </row>
        <row r="65">
          <cell r="AL65" t="str">
            <v>Option Year 4ISTBD1Contr/Govt</v>
          </cell>
          <cell r="AM65">
            <v>0</v>
          </cell>
        </row>
        <row r="66">
          <cell r="AL66" t="str">
            <v>Option Year 4ISTBD2Contr/Govt</v>
          </cell>
          <cell r="AM66">
            <v>0</v>
          </cell>
        </row>
        <row r="67">
          <cell r="AL67" t="str">
            <v>Option Year 4ISTBD3Contr/Govt</v>
          </cell>
          <cell r="AM67">
            <v>0</v>
          </cell>
        </row>
        <row r="72">
          <cell r="AL72" t="str">
            <v>Option Year 5ISPRBContr/Govt</v>
          </cell>
          <cell r="AM72">
            <v>0.3125</v>
          </cell>
        </row>
        <row r="73">
          <cell r="AL73" t="str">
            <v>Option Year 5ISOverheadContr</v>
          </cell>
          <cell r="AM73">
            <v>0.15</v>
          </cell>
        </row>
        <row r="74">
          <cell r="AL74" t="str">
            <v>Option Year 5ISOverheadGovt</v>
          </cell>
          <cell r="AM74">
            <v>0.02</v>
          </cell>
        </row>
        <row r="75">
          <cell r="AL75" t="str">
            <v>Option Year 5ISMHContr/Govt</v>
          </cell>
          <cell r="AM75">
            <v>2.76E-2</v>
          </cell>
        </row>
        <row r="76">
          <cell r="AL76" t="str">
            <v>Option Year 5ISG&amp;AContr/Govt</v>
          </cell>
          <cell r="AM76">
            <v>8.8099999999999998E-2</v>
          </cell>
        </row>
        <row r="77">
          <cell r="AL77" t="str">
            <v>Option Year 5ISTBD1Contr/Govt</v>
          </cell>
          <cell r="AM77">
            <v>0</v>
          </cell>
        </row>
        <row r="78">
          <cell r="AL78" t="str">
            <v>Option Year 5ISTBD2Contr/Govt</v>
          </cell>
          <cell r="AM78">
            <v>0</v>
          </cell>
        </row>
        <row r="79">
          <cell r="AL79" t="str">
            <v>Option Year 5ISTBD3Contr/Govt</v>
          </cell>
          <cell r="AM79">
            <v>0</v>
          </cell>
        </row>
        <row r="84">
          <cell r="AL84" t="str">
            <v>Option Year 6ISPRBContr/Govt</v>
          </cell>
          <cell r="AM84">
            <v>0.3125</v>
          </cell>
        </row>
        <row r="85">
          <cell r="AL85" t="str">
            <v>Option Year 6ISOverheadContr</v>
          </cell>
          <cell r="AM85">
            <v>0.15</v>
          </cell>
        </row>
        <row r="86">
          <cell r="AL86" t="str">
            <v>Option Year 6ISOverheadGovt</v>
          </cell>
          <cell r="AM86">
            <v>0.02</v>
          </cell>
        </row>
        <row r="87">
          <cell r="AL87" t="str">
            <v>Option Year 6ISMHContr/Govt</v>
          </cell>
          <cell r="AM87">
            <v>2.76E-2</v>
          </cell>
        </row>
        <row r="88">
          <cell r="AL88" t="str">
            <v>Option Year 6ISG&amp;AContr/Govt</v>
          </cell>
          <cell r="AM88">
            <v>8.8099999999999998E-2</v>
          </cell>
        </row>
        <row r="89">
          <cell r="AL89" t="str">
            <v>Option Year 6ISTBD1Contr/Govt</v>
          </cell>
          <cell r="AM89">
            <v>0</v>
          </cell>
        </row>
        <row r="90">
          <cell r="AL90" t="str">
            <v>Option Year 6ISTBD2Contr/Govt</v>
          </cell>
          <cell r="AM90">
            <v>0</v>
          </cell>
        </row>
        <row r="91">
          <cell r="AL91" t="str">
            <v>Option Year 6ISTBD3Contr/Govt</v>
          </cell>
          <cell r="AM91">
            <v>0</v>
          </cell>
        </row>
        <row r="96">
          <cell r="AL96" t="str">
            <v>Option Year 7ISPRBContr/Govt</v>
          </cell>
          <cell r="AM96">
            <v>0.3125</v>
          </cell>
        </row>
        <row r="97">
          <cell r="AL97" t="str">
            <v>Option Year 7ISOverheadContr</v>
          </cell>
          <cell r="AM97">
            <v>0.15</v>
          </cell>
        </row>
        <row r="98">
          <cell r="AL98" t="str">
            <v>Option Year 7ISOverheadGovt</v>
          </cell>
          <cell r="AM98">
            <v>0.02</v>
          </cell>
        </row>
        <row r="99">
          <cell r="AL99" t="str">
            <v>Option Year 7ISMHContr/Govt</v>
          </cell>
          <cell r="AM99">
            <v>2.76E-2</v>
          </cell>
        </row>
        <row r="100">
          <cell r="AL100" t="str">
            <v>Option Year 7ISG&amp;AContr/Govt</v>
          </cell>
          <cell r="AM100">
            <v>8.8099999999999998E-2</v>
          </cell>
        </row>
        <row r="101">
          <cell r="AL101" t="str">
            <v>Option Year 7ISTBD1Contr/Govt</v>
          </cell>
          <cell r="AM101">
            <v>0</v>
          </cell>
        </row>
        <row r="102">
          <cell r="AL102" t="str">
            <v>Option Year 7ISTBD2Contr/Govt</v>
          </cell>
          <cell r="AM102">
            <v>0</v>
          </cell>
        </row>
        <row r="103">
          <cell r="AL103" t="str">
            <v>Option Year 7ISTBD3Contr/Govt</v>
          </cell>
          <cell r="AM103">
            <v>0</v>
          </cell>
        </row>
        <row r="108">
          <cell r="AL108" t="str">
            <v>Option Year 8ISPRBContr/Govt</v>
          </cell>
          <cell r="AM108">
            <v>0.3125</v>
          </cell>
        </row>
        <row r="109">
          <cell r="AL109" t="str">
            <v>Option Year 8ISOverheadContr</v>
          </cell>
          <cell r="AM109">
            <v>0.15</v>
          </cell>
        </row>
        <row r="110">
          <cell r="AL110" t="str">
            <v>Option Year 8ISOverheadGovt</v>
          </cell>
          <cell r="AM110">
            <v>0.02</v>
          </cell>
        </row>
        <row r="111">
          <cell r="AL111" t="str">
            <v>Option Year 8ISMHContr/Govt</v>
          </cell>
          <cell r="AM111">
            <v>2.76E-2</v>
          </cell>
        </row>
        <row r="112">
          <cell r="AL112" t="str">
            <v>Option Year 8ISG&amp;AContr/Govt</v>
          </cell>
          <cell r="AM112">
            <v>8.8099999999999998E-2</v>
          </cell>
        </row>
        <row r="113">
          <cell r="AL113" t="str">
            <v>Option Year 8ISTBD1Contr/Govt</v>
          </cell>
          <cell r="AM113">
            <v>0</v>
          </cell>
        </row>
        <row r="114">
          <cell r="AL114" t="str">
            <v>Option Year 8ISTBD2Contr/Govt</v>
          </cell>
          <cell r="AM114">
            <v>0</v>
          </cell>
        </row>
        <row r="115">
          <cell r="AL115" t="str">
            <v>Option Year 8ISTBD3Contr/Govt</v>
          </cell>
          <cell r="AM115">
            <v>0</v>
          </cell>
        </row>
        <row r="120">
          <cell r="AL120" t="str">
            <v>Option Year 9ISPRBContr/Govt</v>
          </cell>
          <cell r="AM120">
            <v>0.3125</v>
          </cell>
        </row>
        <row r="121">
          <cell r="AL121" t="str">
            <v>Option Year 9ISOverheadContr</v>
          </cell>
          <cell r="AM121">
            <v>0.15</v>
          </cell>
        </row>
        <row r="122">
          <cell r="AL122" t="str">
            <v>Option Year 9ISOverheadGovt</v>
          </cell>
          <cell r="AM122">
            <v>0.02</v>
          </cell>
        </row>
        <row r="123">
          <cell r="AL123" t="str">
            <v>Option Year 9ISMHContr/Govt</v>
          </cell>
          <cell r="AM123">
            <v>2.76E-2</v>
          </cell>
        </row>
        <row r="124">
          <cell r="AL124" t="str">
            <v>Option Year 9ISG&amp;AContr/Govt</v>
          </cell>
          <cell r="AM124">
            <v>8.8099999999999998E-2</v>
          </cell>
        </row>
        <row r="125">
          <cell r="AL125" t="str">
            <v>Option Year 9ISTBD1Contr/Govt</v>
          </cell>
          <cell r="AM125">
            <v>0</v>
          </cell>
        </row>
        <row r="126">
          <cell r="AL126" t="str">
            <v>Option Year 9ISTBD2Contr/Govt</v>
          </cell>
          <cell r="AM126">
            <v>0</v>
          </cell>
        </row>
        <row r="127">
          <cell r="AL127" t="str">
            <v>Option Year 9ISTBD3Contr/Govt</v>
          </cell>
          <cell r="AM127">
            <v>0</v>
          </cell>
        </row>
        <row r="132">
          <cell r="AL132" t="str">
            <v>Option Year 10ISPRBContr/Govt</v>
          </cell>
          <cell r="AM132">
            <v>0.3125</v>
          </cell>
        </row>
        <row r="133">
          <cell r="AL133" t="str">
            <v>Option Year 10ISOverheadContr</v>
          </cell>
          <cell r="AM133">
            <v>0.15</v>
          </cell>
        </row>
        <row r="134">
          <cell r="AL134" t="str">
            <v>Option Year 10ISOverheadGovt</v>
          </cell>
          <cell r="AM134">
            <v>0.02</v>
          </cell>
        </row>
        <row r="135">
          <cell r="AL135" t="str">
            <v>Option Year 10ISMHContr/Govt</v>
          </cell>
          <cell r="AM135">
            <v>2.76E-2</v>
          </cell>
        </row>
        <row r="136">
          <cell r="AL136" t="str">
            <v>Option Year 10ISG&amp;AContr/Govt</v>
          </cell>
          <cell r="AM136">
            <v>8.8099999999999998E-2</v>
          </cell>
        </row>
        <row r="137">
          <cell r="AL137" t="str">
            <v>Option Year 10ISTBD1Contr/Govt</v>
          </cell>
          <cell r="AM137">
            <v>0</v>
          </cell>
        </row>
        <row r="138">
          <cell r="AL138" t="str">
            <v>Option Year 10ISTBD2Contr/Govt</v>
          </cell>
          <cell r="AM138">
            <v>0</v>
          </cell>
        </row>
        <row r="139">
          <cell r="AL139" t="str">
            <v>Option Year 10ISTBD3Contr/Govt</v>
          </cell>
          <cell r="AM139">
            <v>0</v>
          </cell>
        </row>
        <row r="144">
          <cell r="AL144" t="str">
            <v>Option Year 11ISPRBContr/Govt</v>
          </cell>
          <cell r="AM144">
            <v>0.3125</v>
          </cell>
        </row>
        <row r="145">
          <cell r="AL145" t="str">
            <v>Option Year 11ISOverheadContr</v>
          </cell>
          <cell r="AM145">
            <v>0.15</v>
          </cell>
        </row>
        <row r="146">
          <cell r="AL146" t="str">
            <v>Option Year 11ISOverheadGovt</v>
          </cell>
          <cell r="AM146">
            <v>0.02</v>
          </cell>
        </row>
        <row r="147">
          <cell r="AL147" t="str">
            <v>Option Year 11ISMHContr/Govt</v>
          </cell>
          <cell r="AM147">
            <v>2.76E-2</v>
          </cell>
        </row>
        <row r="148">
          <cell r="AL148" t="str">
            <v>Option Year 11ISG&amp;AContr/Govt</v>
          </cell>
          <cell r="AM148">
            <v>8.8099999999999998E-2</v>
          </cell>
        </row>
        <row r="149">
          <cell r="AL149" t="str">
            <v>Option Year 11ISTBD1Contr/Govt</v>
          </cell>
          <cell r="AM149">
            <v>0</v>
          </cell>
        </row>
        <row r="150">
          <cell r="AL150" t="str">
            <v>Option Year 11ISTBD2Contr/Govt</v>
          </cell>
          <cell r="AM150">
            <v>0</v>
          </cell>
        </row>
        <row r="151">
          <cell r="AL151" t="str">
            <v>Option Year 11ISTBD3Contr/Govt</v>
          </cell>
          <cell r="AM151">
            <v>0</v>
          </cell>
        </row>
        <row r="156">
          <cell r="AL156" t="str">
            <v>Option Year 12ISPRBContr/Govt</v>
          </cell>
          <cell r="AM156">
            <v>0.3125</v>
          </cell>
        </row>
        <row r="157">
          <cell r="AL157" t="str">
            <v>Option Year 12ISOverheadContr</v>
          </cell>
          <cell r="AM157">
            <v>0.15</v>
          </cell>
        </row>
        <row r="158">
          <cell r="AL158" t="str">
            <v>Option Year 12ISOverheadGovt</v>
          </cell>
          <cell r="AM158">
            <v>0.02</v>
          </cell>
        </row>
        <row r="159">
          <cell r="AL159" t="str">
            <v>Option Year 12ISMHContr/Govt</v>
          </cell>
          <cell r="AM159">
            <v>2.76E-2</v>
          </cell>
        </row>
        <row r="160">
          <cell r="AL160" t="str">
            <v>Option Year 12ISG&amp;AContr/Govt</v>
          </cell>
          <cell r="AM160">
            <v>8.8099999999999998E-2</v>
          </cell>
        </row>
        <row r="161">
          <cell r="AL161" t="str">
            <v>Option Year 12ISTBD1Contr/Govt</v>
          </cell>
          <cell r="AM161">
            <v>0</v>
          </cell>
        </row>
        <row r="162">
          <cell r="AL162" t="str">
            <v>Option Year 12ISTBD2Contr/Govt</v>
          </cell>
          <cell r="AM162">
            <v>0</v>
          </cell>
        </row>
        <row r="163">
          <cell r="AL163" t="str">
            <v>Option Year 12ISTBD3Contr/Govt</v>
          </cell>
          <cell r="AM163">
            <v>0</v>
          </cell>
        </row>
        <row r="168">
          <cell r="AL168" t="str">
            <v>Option Year 13ISPRBContr/Govt</v>
          </cell>
          <cell r="AM168">
            <v>0.3125</v>
          </cell>
        </row>
        <row r="169">
          <cell r="AL169" t="str">
            <v>Option Year 13ISOverheadContr</v>
          </cell>
          <cell r="AM169">
            <v>0.15</v>
          </cell>
        </row>
        <row r="170">
          <cell r="AL170" t="str">
            <v>Option Year 13ISOverheadGovt</v>
          </cell>
          <cell r="AM170">
            <v>0.02</v>
          </cell>
        </row>
        <row r="171">
          <cell r="AL171" t="str">
            <v>Option Year 13ISMHContr/Govt</v>
          </cell>
          <cell r="AM171">
            <v>2.76E-2</v>
          </cell>
        </row>
        <row r="172">
          <cell r="AL172" t="str">
            <v>Option Year 13ISG&amp;AContr/Govt</v>
          </cell>
          <cell r="AM172">
            <v>8.8099999999999998E-2</v>
          </cell>
        </row>
        <row r="173">
          <cell r="AL173" t="str">
            <v>Option Year 13ISTBD1Contr/Govt</v>
          </cell>
          <cell r="AM173">
            <v>0</v>
          </cell>
        </row>
        <row r="174">
          <cell r="AL174" t="str">
            <v>Option Year 13ISTBD2Contr/Govt</v>
          </cell>
          <cell r="AM174">
            <v>0</v>
          </cell>
        </row>
        <row r="175">
          <cell r="AL175" t="str">
            <v>Option Year 13ISTBD3Contr/Govt</v>
          </cell>
          <cell r="AM175">
            <v>0</v>
          </cell>
        </row>
        <row r="180">
          <cell r="AL180" t="str">
            <v>Option Year 14ISPRBContr/Govt</v>
          </cell>
          <cell r="AM180">
            <v>0.3125</v>
          </cell>
        </row>
        <row r="181">
          <cell r="AL181" t="str">
            <v>Option Year 14ISOverheadContr</v>
          </cell>
          <cell r="AM181">
            <v>0.15</v>
          </cell>
        </row>
        <row r="182">
          <cell r="AL182" t="str">
            <v>Option Year 14ISOverheadGovt</v>
          </cell>
          <cell r="AM182">
            <v>0.02</v>
          </cell>
        </row>
        <row r="183">
          <cell r="AL183" t="str">
            <v>Option Year 14ISMHContr/Govt</v>
          </cell>
          <cell r="AM183">
            <v>2.76E-2</v>
          </cell>
        </row>
        <row r="184">
          <cell r="AL184" t="str">
            <v>Option Year 14ISG&amp;AContr/Govt</v>
          </cell>
          <cell r="AM184">
            <v>8.8099999999999998E-2</v>
          </cell>
        </row>
        <row r="185">
          <cell r="AL185" t="str">
            <v>Option Year 14ISTBD1Contr/Govt</v>
          </cell>
          <cell r="AM185">
            <v>0</v>
          </cell>
        </row>
        <row r="186">
          <cell r="AL186" t="str">
            <v>Option Year 14ISTBD2Contr/Govt</v>
          </cell>
          <cell r="AM186">
            <v>0</v>
          </cell>
        </row>
        <row r="187">
          <cell r="AL187" t="str">
            <v>Option Year 14ISTBD3Contr/Govt</v>
          </cell>
          <cell r="AM187">
            <v>0</v>
          </cell>
        </row>
        <row r="193">
          <cell r="AL193" t="str">
            <v>LOOKUP TABLE - DO NOT DELETE</v>
          </cell>
        </row>
        <row r="194">
          <cell r="AL194" t="str">
            <v>Base YearESDPRBContr/Govt</v>
          </cell>
          <cell r="AM194">
            <v>0.35099999999999998</v>
          </cell>
        </row>
        <row r="195">
          <cell r="AL195" t="str">
            <v>Base YearESDOverheadContr</v>
          </cell>
          <cell r="AM195">
            <v>0.17249999999999999</v>
          </cell>
        </row>
        <row r="196">
          <cell r="AL196" t="str">
            <v>Base YearESDOverheadGovt</v>
          </cell>
          <cell r="AM196">
            <v>3.1E-2</v>
          </cell>
        </row>
        <row r="197">
          <cell r="AL197" t="str">
            <v>Base YearESDMHContr/Govt</v>
          </cell>
          <cell r="AM197">
            <v>3.1E-2</v>
          </cell>
        </row>
        <row r="198">
          <cell r="AL198" t="str">
            <v>Base YearESDG&amp;AContr/Govt</v>
          </cell>
          <cell r="AM198">
            <v>9.5699999999999993E-2</v>
          </cell>
        </row>
        <row r="199">
          <cell r="AL199" t="str">
            <v>Base YearESDTBD1Contr/Govt</v>
          </cell>
          <cell r="AM199">
            <v>0</v>
          </cell>
        </row>
        <row r="200">
          <cell r="AL200" t="str">
            <v>Base YearESDTBD2Contr/Govt</v>
          </cell>
          <cell r="AM200">
            <v>0</v>
          </cell>
        </row>
        <row r="201">
          <cell r="AL201" t="str">
            <v>Base YearESDTBD3Contr/Govt</v>
          </cell>
          <cell r="AM201">
            <v>0</v>
          </cell>
        </row>
        <row r="206">
          <cell r="AL206" t="str">
            <v>Option Year 1ESDPRBContr/Govt</v>
          </cell>
          <cell r="AM206">
            <v>0.35099999999999998</v>
          </cell>
        </row>
        <row r="207">
          <cell r="AL207" t="str">
            <v>Option Year 1ESDOverheadContr</v>
          </cell>
          <cell r="AM207">
            <v>0.17249999999999999</v>
          </cell>
        </row>
        <row r="208">
          <cell r="AL208" t="str">
            <v>Option Year 1ESDOverheadGovt</v>
          </cell>
          <cell r="AM208">
            <v>3.1E-2</v>
          </cell>
        </row>
        <row r="209">
          <cell r="AL209" t="str">
            <v>Option Year 1ESDMHContr/Govt</v>
          </cell>
          <cell r="AM209">
            <v>3.0499999999999999E-2</v>
          </cell>
        </row>
        <row r="210">
          <cell r="AL210" t="str">
            <v>Option Year 1ESDG&amp;AContr/Govt</v>
          </cell>
          <cell r="AM210">
            <v>9.4E-2</v>
          </cell>
        </row>
        <row r="211">
          <cell r="AL211" t="str">
            <v>Option Year 1ESDTBD1Contr/Govt</v>
          </cell>
          <cell r="AM211">
            <v>0</v>
          </cell>
        </row>
        <row r="212">
          <cell r="AL212" t="str">
            <v>Option Year 1ESDTBD2Contr/Govt</v>
          </cell>
          <cell r="AM212">
            <v>0</v>
          </cell>
        </row>
        <row r="213">
          <cell r="AL213" t="str">
            <v>Option Year 1ESDTBD3Contr/Govt</v>
          </cell>
          <cell r="AM213">
            <v>0</v>
          </cell>
        </row>
        <row r="218">
          <cell r="AL218" t="str">
            <v>Option Year 2ESDPRBContr/Govt</v>
          </cell>
          <cell r="AM218">
            <v>0.35099999999999998</v>
          </cell>
        </row>
        <row r="219">
          <cell r="AL219" t="str">
            <v>Option Year 2ESDOverheadContr</v>
          </cell>
          <cell r="AM219">
            <v>0.17249999999999999</v>
          </cell>
        </row>
        <row r="220">
          <cell r="AL220" t="str">
            <v>Option Year 2ESDOverheadGovt</v>
          </cell>
          <cell r="AM220">
            <v>3.1E-2</v>
          </cell>
        </row>
        <row r="221">
          <cell r="AL221" t="str">
            <v>Option Year 2ESDMHContr/Govt</v>
          </cell>
          <cell r="AM221">
            <v>2.9899999999999999E-2</v>
          </cell>
        </row>
        <row r="222">
          <cell r="AL222" t="str">
            <v>Option Year 2ESDG&amp;AContr/Govt</v>
          </cell>
          <cell r="AM222">
            <v>9.1700000000000004E-2</v>
          </cell>
        </row>
        <row r="223">
          <cell r="AL223" t="str">
            <v>Option Year 2ESDTBD1Contr/Govt</v>
          </cell>
          <cell r="AM223">
            <v>0</v>
          </cell>
        </row>
        <row r="224">
          <cell r="AL224" t="str">
            <v>Option Year 2ESDTBD2Contr/Govt</v>
          </cell>
          <cell r="AM224">
            <v>0</v>
          </cell>
        </row>
        <row r="225">
          <cell r="AL225" t="str">
            <v>Option Year 2ESDTBD3Contr/Govt</v>
          </cell>
          <cell r="AM225">
            <v>0</v>
          </cell>
        </row>
        <row r="230">
          <cell r="AL230" t="str">
            <v>Option Year 3ESDPRBContr/Govt</v>
          </cell>
          <cell r="AM230">
            <v>0.35099999999999998</v>
          </cell>
        </row>
        <row r="231">
          <cell r="AL231" t="str">
            <v>Option Year 3ESDOverheadContr</v>
          </cell>
          <cell r="AM231">
            <v>0.17249999999999999</v>
          </cell>
        </row>
        <row r="232">
          <cell r="AL232" t="str">
            <v>Option Year 3ESDOverheadGovt</v>
          </cell>
          <cell r="AM232">
            <v>3.1E-2</v>
          </cell>
        </row>
        <row r="233">
          <cell r="AL233" t="str">
            <v>Option Year 3ESDMHContr/Govt</v>
          </cell>
          <cell r="AM233">
            <v>2.93E-2</v>
          </cell>
        </row>
        <row r="234">
          <cell r="AL234" t="str">
            <v>Option Year 3ESDG&amp;AContr/Govt</v>
          </cell>
          <cell r="AM234">
            <v>8.9399999999999993E-2</v>
          </cell>
        </row>
        <row r="235">
          <cell r="AL235" t="str">
            <v>Option Year 3ESDTBD1Contr/Govt</v>
          </cell>
          <cell r="AM235">
            <v>0</v>
          </cell>
        </row>
        <row r="236">
          <cell r="AL236" t="str">
            <v>Option Year 3ESDTBD2Contr/Govt</v>
          </cell>
          <cell r="AM236">
            <v>0</v>
          </cell>
        </row>
        <row r="237">
          <cell r="AL237" t="str">
            <v>Option Year 3ESDTBD3Contr/Govt</v>
          </cell>
          <cell r="AM237">
            <v>0</v>
          </cell>
        </row>
        <row r="242">
          <cell r="AL242" t="str">
            <v>Option Year 4ESDPRBContr/Govt</v>
          </cell>
          <cell r="AM242">
            <v>0.35099999999999998</v>
          </cell>
        </row>
        <row r="243">
          <cell r="AL243" t="str">
            <v>Option Year 4ESDOverheadContr</v>
          </cell>
          <cell r="AM243">
            <v>0.17249999999999999</v>
          </cell>
        </row>
        <row r="244">
          <cell r="AL244" t="str">
            <v>Option Year 4ESDOverheadGovt</v>
          </cell>
          <cell r="AM244">
            <v>3.1E-2</v>
          </cell>
        </row>
        <row r="245">
          <cell r="AL245" t="str">
            <v>Option Year 4ESDMHContr/Govt</v>
          </cell>
          <cell r="AM245">
            <v>2.8799999999999999E-2</v>
          </cell>
        </row>
        <row r="246">
          <cell r="AL246" t="str">
            <v>Option Year 4ESDG&amp;AContr/Govt</v>
          </cell>
          <cell r="AM246">
            <v>8.7300000000000003E-2</v>
          </cell>
        </row>
        <row r="247">
          <cell r="AL247" t="str">
            <v>Option Year 4ESDTBD1Contr/Govt</v>
          </cell>
          <cell r="AM247">
            <v>0</v>
          </cell>
        </row>
        <row r="248">
          <cell r="AL248" t="str">
            <v>Option Year 4ESDTBD2Contr/Govt</v>
          </cell>
          <cell r="AM248">
            <v>0</v>
          </cell>
        </row>
        <row r="249">
          <cell r="AL249" t="str">
            <v>Option Year 4ESDTBD3Contr/Govt</v>
          </cell>
          <cell r="AM249">
            <v>0</v>
          </cell>
        </row>
        <row r="254">
          <cell r="AL254" t="str">
            <v>Option Year 5ESDPRBContr/Govt</v>
          </cell>
          <cell r="AM254">
            <v>0.35099999999999998</v>
          </cell>
        </row>
        <row r="255">
          <cell r="AL255" t="str">
            <v>Option Year 5ESDOverheadContr</v>
          </cell>
          <cell r="AM255">
            <v>0.17249999999999999</v>
          </cell>
        </row>
        <row r="256">
          <cell r="AL256" t="str">
            <v>Option Year 5ESDOverheadGovt</v>
          </cell>
          <cell r="AM256">
            <v>3.1E-2</v>
          </cell>
        </row>
        <row r="257">
          <cell r="AL257" t="str">
            <v>Option Year 5ESDMHContr/Govt</v>
          </cell>
          <cell r="AM257">
            <v>2.86E-2</v>
          </cell>
        </row>
        <row r="258">
          <cell r="AL258" t="str">
            <v>Option Year 5ESDG&amp;AContr/Govt</v>
          </cell>
          <cell r="AM258">
            <v>8.6599999999999996E-2</v>
          </cell>
        </row>
        <row r="259">
          <cell r="AL259" t="str">
            <v>Option Year 5ESDTBD1Contr/Govt</v>
          </cell>
          <cell r="AM259">
            <v>0</v>
          </cell>
        </row>
        <row r="260">
          <cell r="AL260" t="str">
            <v>Option Year 5ESDTBD2Contr/Govt</v>
          </cell>
          <cell r="AM260">
            <v>0</v>
          </cell>
        </row>
        <row r="261">
          <cell r="AL261" t="str">
            <v>Option Year 5ESDTBD3Contr/Govt</v>
          </cell>
          <cell r="AM261">
            <v>0</v>
          </cell>
        </row>
        <row r="266">
          <cell r="AL266" t="str">
            <v>Option Year 6ESDPRBContr/Govt</v>
          </cell>
          <cell r="AM266">
            <v>0.35099999999999998</v>
          </cell>
        </row>
        <row r="267">
          <cell r="AL267" t="str">
            <v>Option Year 6ESDOverheadContr</v>
          </cell>
          <cell r="AM267">
            <v>0.17249999999999999</v>
          </cell>
        </row>
        <row r="268">
          <cell r="AL268" t="str">
            <v>Option Year 6ESDOverheadGovt</v>
          </cell>
          <cell r="AM268">
            <v>3.1E-2</v>
          </cell>
        </row>
        <row r="269">
          <cell r="AL269" t="str">
            <v>Option Year 6ESDMHContr/Govt</v>
          </cell>
          <cell r="AM269">
            <v>2.86E-2</v>
          </cell>
        </row>
        <row r="270">
          <cell r="AL270" t="str">
            <v>Option Year 6ESDG&amp;AContr/Govt</v>
          </cell>
          <cell r="AM270">
            <v>8.6599999999999996E-2</v>
          </cell>
        </row>
        <row r="271">
          <cell r="AL271" t="str">
            <v>Option Year 6ESDTBD1Contr/Govt</v>
          </cell>
          <cell r="AM271">
            <v>0</v>
          </cell>
        </row>
        <row r="272">
          <cell r="AL272" t="str">
            <v>Option Year 6ESDTBD2Contr/Govt</v>
          </cell>
          <cell r="AM272">
            <v>0</v>
          </cell>
        </row>
        <row r="273">
          <cell r="AL273" t="str">
            <v>Option Year 6ESDTBD3Contr/Govt</v>
          </cell>
          <cell r="AM273">
            <v>0</v>
          </cell>
        </row>
        <row r="278">
          <cell r="AL278" t="str">
            <v>Option Year 7ESDPRBContr/Govt</v>
          </cell>
          <cell r="AM278">
            <v>0.35099999999999998</v>
          </cell>
        </row>
        <row r="279">
          <cell r="AL279" t="str">
            <v>Option Year 7ESDOverheadContr</v>
          </cell>
          <cell r="AM279">
            <v>0.17249999999999999</v>
          </cell>
        </row>
        <row r="280">
          <cell r="AL280" t="str">
            <v>Option Year 7ESDOverheadGovt</v>
          </cell>
          <cell r="AM280">
            <v>3.1E-2</v>
          </cell>
        </row>
        <row r="281">
          <cell r="AL281" t="str">
            <v>Option Year 7ESDMHContr/Govt</v>
          </cell>
          <cell r="AM281">
            <v>2.86E-2</v>
          </cell>
        </row>
        <row r="282">
          <cell r="AL282" t="str">
            <v>Option Year 7ESDG&amp;AContr/Govt</v>
          </cell>
          <cell r="AM282">
            <v>8.6599999999999996E-2</v>
          </cell>
        </row>
        <row r="283">
          <cell r="AL283" t="str">
            <v>Option Year 7ESDTBD1Contr/Govt</v>
          </cell>
          <cell r="AM283">
            <v>0</v>
          </cell>
        </row>
        <row r="284">
          <cell r="AL284" t="str">
            <v>Option Year 7ESDTBD2Contr/Govt</v>
          </cell>
          <cell r="AM284">
            <v>0</v>
          </cell>
        </row>
        <row r="285">
          <cell r="AL285" t="str">
            <v>Option Year 7ESDTBD3Contr/Govt</v>
          </cell>
          <cell r="AM285">
            <v>0</v>
          </cell>
        </row>
        <row r="290">
          <cell r="AL290" t="str">
            <v>Option Year 8ESDPRBContr/Govt</v>
          </cell>
          <cell r="AM290">
            <v>0.11700000000000001</v>
          </cell>
        </row>
        <row r="291">
          <cell r="AL291" t="str">
            <v>Option Year 8ESDOverheadContr</v>
          </cell>
          <cell r="AM291">
            <v>5.7500000000000002E-2</v>
          </cell>
        </row>
        <row r="292">
          <cell r="AL292" t="str">
            <v>Option Year 8ESDOverheadGovt</v>
          </cell>
          <cell r="AM292">
            <v>1.03E-2</v>
          </cell>
        </row>
        <row r="293">
          <cell r="AL293" t="str">
            <v>Option Year 8ESDMHContr/Govt</v>
          </cell>
          <cell r="AM293">
            <v>9.4999999999999998E-3</v>
          </cell>
        </row>
        <row r="294">
          <cell r="AL294" t="str">
            <v>Option Year 8ESDG&amp;AContr/Govt</v>
          </cell>
          <cell r="AM294">
            <v>2.8899999999999999E-2</v>
          </cell>
        </row>
        <row r="295">
          <cell r="AL295" t="str">
            <v>Option Year 8ESDTBD1Contr/Govt</v>
          </cell>
          <cell r="AM295">
            <v>0</v>
          </cell>
        </row>
        <row r="296">
          <cell r="AL296" t="str">
            <v>Option Year 8ESDTBD2Contr/Govt</v>
          </cell>
          <cell r="AM296">
            <v>0</v>
          </cell>
        </row>
        <row r="297">
          <cell r="AL297" t="str">
            <v>Option Year 8ESDTBD3Contr/Govt</v>
          </cell>
          <cell r="AM297">
            <v>0</v>
          </cell>
        </row>
        <row r="302">
          <cell r="AL302" t="str">
            <v>Option Year 9ESDPRBContr/Govt</v>
          </cell>
          <cell r="AM302">
            <v>0</v>
          </cell>
        </row>
        <row r="303">
          <cell r="AL303" t="str">
            <v>Option Year 9ESDOverheadContr</v>
          </cell>
          <cell r="AM303">
            <v>0</v>
          </cell>
        </row>
        <row r="304">
          <cell r="AL304" t="str">
            <v>Option Year 9ESDOverheadGovt</v>
          </cell>
          <cell r="AM304">
            <v>0</v>
          </cell>
        </row>
        <row r="305">
          <cell r="AL305" t="str">
            <v>Option Year 9ESDMHContr/Govt</v>
          </cell>
          <cell r="AM305">
            <v>0</v>
          </cell>
        </row>
        <row r="306">
          <cell r="AL306" t="str">
            <v>Option Year 9ESDG&amp;AContr/Govt</v>
          </cell>
          <cell r="AM306">
            <v>0</v>
          </cell>
        </row>
        <row r="307">
          <cell r="AL307" t="str">
            <v>Option Year 9ESDTBD1Contr/Govt</v>
          </cell>
          <cell r="AM307">
            <v>0</v>
          </cell>
        </row>
        <row r="308">
          <cell r="AL308" t="str">
            <v>Option Year 9ESDTBD2Contr/Govt</v>
          </cell>
          <cell r="AM308">
            <v>0</v>
          </cell>
        </row>
        <row r="309">
          <cell r="AL309" t="str">
            <v>Option Year 9ESDTBD3Contr/Govt</v>
          </cell>
          <cell r="AM309">
            <v>0</v>
          </cell>
        </row>
        <row r="314">
          <cell r="AL314" t="str">
            <v>Option Year 10ESDPRBContr/Govt</v>
          </cell>
          <cell r="AM314">
            <v>0</v>
          </cell>
        </row>
        <row r="315">
          <cell r="AL315" t="str">
            <v>Option Year 10ESDOverheadContr</v>
          </cell>
          <cell r="AM315">
            <v>0</v>
          </cell>
        </row>
        <row r="316">
          <cell r="AL316" t="str">
            <v>Option Year 10ESDOverheadGovt</v>
          </cell>
          <cell r="AM316">
            <v>0</v>
          </cell>
        </row>
        <row r="317">
          <cell r="AL317" t="str">
            <v>Option Year 10ESDMHContr/Govt</v>
          </cell>
          <cell r="AM317">
            <v>0</v>
          </cell>
        </row>
        <row r="318">
          <cell r="AL318" t="str">
            <v>Option Year 10ESDG&amp;AContr/Govt</v>
          </cell>
          <cell r="AM318">
            <v>0</v>
          </cell>
        </row>
        <row r="319">
          <cell r="AL319" t="str">
            <v>Option Year 10ESDTBD1Contr/Govt</v>
          </cell>
          <cell r="AM319">
            <v>0</v>
          </cell>
        </row>
        <row r="320">
          <cell r="AL320" t="str">
            <v>Option Year 10ESDTBD2Contr/Govt</v>
          </cell>
          <cell r="AM320">
            <v>0</v>
          </cell>
        </row>
        <row r="321">
          <cell r="AL321" t="str">
            <v>Option Year 10ESDTBD3Contr/Govt</v>
          </cell>
          <cell r="AM321">
            <v>0</v>
          </cell>
        </row>
        <row r="326">
          <cell r="AL326" t="str">
            <v>Option Year 11ESDPRBContr/Govt</v>
          </cell>
          <cell r="AM326">
            <v>0</v>
          </cell>
        </row>
        <row r="327">
          <cell r="AL327" t="str">
            <v>Option Year 11ESDOverheadContr</v>
          </cell>
          <cell r="AM327">
            <v>0</v>
          </cell>
        </row>
        <row r="328">
          <cell r="AL328" t="str">
            <v>Option Year 11ESDOverheadGovt</v>
          </cell>
          <cell r="AM328">
            <v>0</v>
          </cell>
        </row>
        <row r="329">
          <cell r="AL329" t="str">
            <v>Option Year 11ESDMHContr/Govt</v>
          </cell>
          <cell r="AM329">
            <v>0</v>
          </cell>
        </row>
        <row r="330">
          <cell r="AL330" t="str">
            <v>Option Year 11ESDG&amp;AContr/Govt</v>
          </cell>
          <cell r="AM330">
            <v>0</v>
          </cell>
        </row>
        <row r="331">
          <cell r="AL331" t="str">
            <v>Option Year 11ESDTBD1Contr/Govt</v>
          </cell>
          <cell r="AM331">
            <v>0</v>
          </cell>
        </row>
        <row r="332">
          <cell r="AL332" t="str">
            <v>Option Year 11ESDTBD2Contr/Govt</v>
          </cell>
          <cell r="AM332">
            <v>0</v>
          </cell>
        </row>
        <row r="333">
          <cell r="AL333" t="str">
            <v>Option Year 11ESDTBD3Contr/Govt</v>
          </cell>
          <cell r="AM333">
            <v>0</v>
          </cell>
        </row>
        <row r="338">
          <cell r="AL338" t="str">
            <v>Option Year 12ESDPRBContr/Govt</v>
          </cell>
          <cell r="AM338">
            <v>0</v>
          </cell>
        </row>
        <row r="339">
          <cell r="AL339" t="str">
            <v>Option Year 12ESDOverheadContr</v>
          </cell>
          <cell r="AM339">
            <v>0</v>
          </cell>
        </row>
        <row r="340">
          <cell r="AL340" t="str">
            <v>Option Year 12ESDOverheadGovt</v>
          </cell>
          <cell r="AM340">
            <v>0</v>
          </cell>
        </row>
        <row r="341">
          <cell r="AL341" t="str">
            <v>Option Year 12ESDMHContr/Govt</v>
          </cell>
          <cell r="AM341">
            <v>0</v>
          </cell>
        </row>
        <row r="342">
          <cell r="AL342" t="str">
            <v>Option Year 12ESDG&amp;AContr/Govt</v>
          </cell>
          <cell r="AM342">
            <v>0</v>
          </cell>
        </row>
        <row r="343">
          <cell r="AL343" t="str">
            <v>Option Year 12ESDTBD1Contr/Govt</v>
          </cell>
          <cell r="AM343">
            <v>0</v>
          </cell>
        </row>
        <row r="344">
          <cell r="AL344" t="str">
            <v>Option Year 12ESDTBD2Contr/Govt</v>
          </cell>
          <cell r="AM344">
            <v>0</v>
          </cell>
        </row>
        <row r="345">
          <cell r="AL345" t="str">
            <v>Option Year 12ESDTBD3Contr/Govt</v>
          </cell>
          <cell r="AM345">
            <v>0</v>
          </cell>
        </row>
        <row r="350">
          <cell r="AL350" t="str">
            <v>Option Year 13ESDPRBContr/Govt</v>
          </cell>
          <cell r="AM350">
            <v>0</v>
          </cell>
        </row>
        <row r="351">
          <cell r="AL351" t="str">
            <v>Option Year 13ESDOverheadContr</v>
          </cell>
          <cell r="AM351">
            <v>0</v>
          </cell>
        </row>
        <row r="352">
          <cell r="AL352" t="str">
            <v>Option Year 13ESDOverheadGovt</v>
          </cell>
          <cell r="AM352">
            <v>0</v>
          </cell>
        </row>
        <row r="353">
          <cell r="AL353" t="str">
            <v>Option Year 13ESDMHContr/Govt</v>
          </cell>
          <cell r="AM353">
            <v>0</v>
          </cell>
        </row>
        <row r="354">
          <cell r="AL354" t="str">
            <v>Option Year 13ESDG&amp;AContr/Govt</v>
          </cell>
          <cell r="AM354">
            <v>0</v>
          </cell>
        </row>
        <row r="355">
          <cell r="AL355" t="str">
            <v>Option Year 13ESDTBD1Contr/Govt</v>
          </cell>
          <cell r="AM355">
            <v>0</v>
          </cell>
        </row>
        <row r="356">
          <cell r="AL356" t="str">
            <v>Option Year 13ESDTBD2Contr/Govt</v>
          </cell>
          <cell r="AM356">
            <v>0</v>
          </cell>
        </row>
        <row r="357">
          <cell r="AL357" t="str">
            <v>Option Year 13ESDTBD3Contr/Govt</v>
          </cell>
          <cell r="AM357">
            <v>0</v>
          </cell>
        </row>
        <row r="362">
          <cell r="AL362" t="str">
            <v>Option Year 14ESDPRBContr/Govt</v>
          </cell>
          <cell r="AM362">
            <v>0</v>
          </cell>
        </row>
        <row r="363">
          <cell r="AL363" t="str">
            <v>Option Year 14ESDOverheadContr</v>
          </cell>
          <cell r="AM363">
            <v>0</v>
          </cell>
        </row>
        <row r="364">
          <cell r="AL364" t="str">
            <v>Option Year 14ESDOverheadGovt</v>
          </cell>
          <cell r="AM364">
            <v>0</v>
          </cell>
        </row>
        <row r="365">
          <cell r="AL365" t="str">
            <v>Option Year 14ESDMHContr/Govt</v>
          </cell>
          <cell r="AM365">
            <v>0</v>
          </cell>
        </row>
        <row r="366">
          <cell r="AL366" t="str">
            <v>Option Year 14ESDG&amp;AContr/Govt</v>
          </cell>
          <cell r="AM366">
            <v>0</v>
          </cell>
        </row>
        <row r="367">
          <cell r="AL367" t="str">
            <v>Option Year 14ESDTBD1Contr/Govt</v>
          </cell>
          <cell r="AM367">
            <v>0</v>
          </cell>
        </row>
        <row r="368">
          <cell r="AL368" t="str">
            <v>Option Year 14ESDTBD2Contr/Govt</v>
          </cell>
          <cell r="AM368">
            <v>0</v>
          </cell>
        </row>
        <row r="369">
          <cell r="AL369" t="str">
            <v>Option Year 14ESDTBD3Contr/Govt</v>
          </cell>
          <cell r="AM369">
            <v>0</v>
          </cell>
        </row>
        <row r="375">
          <cell r="AL375" t="str">
            <v>LOOKUP TABLE - DO NOT DELETE</v>
          </cell>
        </row>
        <row r="376">
          <cell r="AL376" t="str">
            <v>Base YearESDPRBContr/Govt</v>
          </cell>
          <cell r="AM376">
            <v>0.35099999999999998</v>
          </cell>
        </row>
        <row r="377">
          <cell r="AL377" t="str">
            <v>Base YearESDOverheadContr</v>
          </cell>
          <cell r="AM377">
            <v>0.17249999999999999</v>
          </cell>
        </row>
        <row r="378">
          <cell r="AL378" t="str">
            <v>Base YearESDOverheadGovt</v>
          </cell>
          <cell r="AM378">
            <v>3.1E-2</v>
          </cell>
        </row>
        <row r="379">
          <cell r="AL379" t="str">
            <v>Base YearESDMHContr/Govt</v>
          </cell>
          <cell r="AM379">
            <v>3.1E-2</v>
          </cell>
        </row>
        <row r="380">
          <cell r="AL380" t="str">
            <v>Base YearESDG&amp;AContr/Govt</v>
          </cell>
          <cell r="AM380">
            <v>9.5699999999999993E-2</v>
          </cell>
        </row>
        <row r="381">
          <cell r="AL381" t="str">
            <v>Base YearESDTBD1Contr/Govt</v>
          </cell>
          <cell r="AM381">
            <v>0</v>
          </cell>
        </row>
        <row r="382">
          <cell r="AL382" t="str">
            <v>Base YearESDTBD2Contr/Govt</v>
          </cell>
          <cell r="AM382">
            <v>0</v>
          </cell>
        </row>
        <row r="383">
          <cell r="AL383" t="str">
            <v>Base YearESDTBD3Contr/Govt</v>
          </cell>
          <cell r="AM383">
            <v>0</v>
          </cell>
        </row>
        <row r="388">
          <cell r="AL388" t="str">
            <v>Option Year 1ESDPRBContr/Govt</v>
          </cell>
          <cell r="AM388">
            <v>0.35099999999999998</v>
          </cell>
        </row>
        <row r="389">
          <cell r="AL389" t="str">
            <v>Option Year 1ESDOverheadContr</v>
          </cell>
          <cell r="AM389">
            <v>0.17249999999999999</v>
          </cell>
        </row>
        <row r="390">
          <cell r="AL390" t="str">
            <v>Option Year 1ESDOverheadGovt</v>
          </cell>
          <cell r="AM390">
            <v>3.1E-2</v>
          </cell>
        </row>
        <row r="391">
          <cell r="AL391" t="str">
            <v>Option Year 1ESDMHContr/Govt</v>
          </cell>
          <cell r="AM391">
            <v>3.0499999999999999E-2</v>
          </cell>
        </row>
        <row r="392">
          <cell r="AL392" t="str">
            <v>Option Year 1ESDG&amp;AContr/Govt</v>
          </cell>
          <cell r="AM392">
            <v>9.4E-2</v>
          </cell>
        </row>
        <row r="393">
          <cell r="AL393" t="str">
            <v>Option Year 1ESDTBD1Contr/Govt</v>
          </cell>
          <cell r="AM393">
            <v>0</v>
          </cell>
        </row>
        <row r="394">
          <cell r="AL394" t="str">
            <v>Option Year 1ESDTBD2Contr/Govt</v>
          </cell>
          <cell r="AM394">
            <v>0</v>
          </cell>
        </row>
        <row r="395">
          <cell r="AL395" t="str">
            <v>Option Year 1ESDTBD3Contr/Govt</v>
          </cell>
          <cell r="AM395">
            <v>0</v>
          </cell>
        </row>
        <row r="400">
          <cell r="AL400" t="str">
            <v>Option Year 2ESDPRBContr/Govt</v>
          </cell>
          <cell r="AM400">
            <v>0.35099999999999998</v>
          </cell>
        </row>
        <row r="401">
          <cell r="AL401" t="str">
            <v>Option Year 2ESDOverheadContr</v>
          </cell>
          <cell r="AM401">
            <v>0.17249999999999999</v>
          </cell>
        </row>
        <row r="402">
          <cell r="AL402" t="str">
            <v>Option Year 2ESDOverheadGovt</v>
          </cell>
          <cell r="AM402">
            <v>3.1E-2</v>
          </cell>
        </row>
        <row r="403">
          <cell r="AL403" t="str">
            <v>Option Year 2ESDMHContr/Govt</v>
          </cell>
          <cell r="AM403">
            <v>2.9899999999999999E-2</v>
          </cell>
        </row>
        <row r="404">
          <cell r="AL404" t="str">
            <v>Option Year 2ESDG&amp;AContr/Govt</v>
          </cell>
          <cell r="AM404">
            <v>9.1700000000000004E-2</v>
          </cell>
        </row>
        <row r="405">
          <cell r="AL405" t="str">
            <v>Option Year 2ESDTBD1Contr/Govt</v>
          </cell>
          <cell r="AM405">
            <v>0</v>
          </cell>
        </row>
        <row r="406">
          <cell r="AL406" t="str">
            <v>Option Year 2ESDTBD2Contr/Govt</v>
          </cell>
          <cell r="AM406">
            <v>0</v>
          </cell>
        </row>
        <row r="407">
          <cell r="AL407" t="str">
            <v>Option Year 2ESDTBD3Contr/Govt</v>
          </cell>
          <cell r="AM407">
            <v>0</v>
          </cell>
        </row>
        <row r="412">
          <cell r="AL412" t="str">
            <v>Option Year 3ESDPRBContr/Govt</v>
          </cell>
          <cell r="AM412">
            <v>0.35099999999999998</v>
          </cell>
        </row>
        <row r="413">
          <cell r="AL413" t="str">
            <v>Option Year 3ESDOverheadContr</v>
          </cell>
          <cell r="AM413">
            <v>0.17249999999999999</v>
          </cell>
        </row>
        <row r="414">
          <cell r="AL414" t="str">
            <v>Option Year 3ESDOverheadGovt</v>
          </cell>
          <cell r="AM414">
            <v>3.1E-2</v>
          </cell>
        </row>
        <row r="415">
          <cell r="AL415" t="str">
            <v>Option Year 3ESDMHContr/Govt</v>
          </cell>
          <cell r="AM415">
            <v>2.93E-2</v>
          </cell>
        </row>
        <row r="416">
          <cell r="AL416" t="str">
            <v>Option Year 3ESDG&amp;AContr/Govt</v>
          </cell>
          <cell r="AM416">
            <v>8.9399999999999993E-2</v>
          </cell>
        </row>
        <row r="417">
          <cell r="AL417" t="str">
            <v>Option Year 3ESDTBD1Contr/Govt</v>
          </cell>
          <cell r="AM417">
            <v>0</v>
          </cell>
        </row>
        <row r="418">
          <cell r="AL418" t="str">
            <v>Option Year 3ESDTBD2Contr/Govt</v>
          </cell>
          <cell r="AM418">
            <v>0</v>
          </cell>
        </row>
        <row r="419">
          <cell r="AL419" t="str">
            <v>Option Year 3ESDTBD3Contr/Govt</v>
          </cell>
          <cell r="AM419">
            <v>0</v>
          </cell>
        </row>
        <row r="424">
          <cell r="AL424" t="str">
            <v>Option Year 4ESDPRBContr/Govt</v>
          </cell>
          <cell r="AM424">
            <v>0.35099999999999998</v>
          </cell>
        </row>
        <row r="425">
          <cell r="AL425" t="str">
            <v>Option Year 4ESDOverheadContr</v>
          </cell>
          <cell r="AM425">
            <v>0.17249999999999999</v>
          </cell>
        </row>
        <row r="426">
          <cell r="AL426" t="str">
            <v>Option Year 4ESDOverheadGovt</v>
          </cell>
          <cell r="AM426">
            <v>3.1E-2</v>
          </cell>
        </row>
        <row r="427">
          <cell r="AL427" t="str">
            <v>Option Year 4ESDMHContr/Govt</v>
          </cell>
          <cell r="AM427">
            <v>2.8799999999999999E-2</v>
          </cell>
        </row>
        <row r="428">
          <cell r="AL428" t="str">
            <v>Option Year 4ESDG&amp;AContr/Govt</v>
          </cell>
          <cell r="AM428">
            <v>8.7300000000000003E-2</v>
          </cell>
        </row>
        <row r="429">
          <cell r="AL429" t="str">
            <v>Option Year 4ESDTBD1Contr/Govt</v>
          </cell>
          <cell r="AM429">
            <v>0</v>
          </cell>
        </row>
        <row r="430">
          <cell r="AL430" t="str">
            <v>Option Year 4ESDTBD2Contr/Govt</v>
          </cell>
          <cell r="AM430">
            <v>0</v>
          </cell>
        </row>
        <row r="431">
          <cell r="AL431" t="str">
            <v>Option Year 4ESDTBD3Contr/Govt</v>
          </cell>
          <cell r="AM431">
            <v>0</v>
          </cell>
        </row>
        <row r="436">
          <cell r="AL436" t="str">
            <v>Option Year 5ESDPRBContr/Govt</v>
          </cell>
          <cell r="AM436">
            <v>0.35099999999999998</v>
          </cell>
        </row>
        <row r="437">
          <cell r="AL437" t="str">
            <v>Option Year 5ESDOverheadContr</v>
          </cell>
          <cell r="AM437">
            <v>0.17249999999999999</v>
          </cell>
        </row>
        <row r="438">
          <cell r="AL438" t="str">
            <v>Option Year 5ESDOverheadGovt</v>
          </cell>
          <cell r="AM438">
            <v>3.1E-2</v>
          </cell>
        </row>
        <row r="439">
          <cell r="AL439" t="str">
            <v>Option Year 5ESDMHContr/Govt</v>
          </cell>
          <cell r="AM439">
            <v>2.86E-2</v>
          </cell>
        </row>
        <row r="440">
          <cell r="AL440" t="str">
            <v>Option Year 5ESDG&amp;AContr/Govt</v>
          </cell>
          <cell r="AM440">
            <v>8.6599999999999996E-2</v>
          </cell>
        </row>
        <row r="441">
          <cell r="AL441" t="str">
            <v>Option Year 5ESDTBD1Contr/Govt</v>
          </cell>
          <cell r="AM441">
            <v>0</v>
          </cell>
        </row>
        <row r="442">
          <cell r="AL442" t="str">
            <v>Option Year 5ESDTBD2Contr/Govt</v>
          </cell>
          <cell r="AM442">
            <v>0</v>
          </cell>
        </row>
        <row r="443">
          <cell r="AL443" t="str">
            <v>Option Year 5ESDTBD3Contr/Govt</v>
          </cell>
          <cell r="AM443">
            <v>0</v>
          </cell>
        </row>
        <row r="448">
          <cell r="AL448" t="str">
            <v>Option Year 6ESDPRBContr/Govt</v>
          </cell>
          <cell r="AM448">
            <v>0.35099999999999998</v>
          </cell>
        </row>
        <row r="449">
          <cell r="AL449" t="str">
            <v>Option Year 6ESDOverheadContr</v>
          </cell>
          <cell r="AM449">
            <v>0.17249999999999999</v>
          </cell>
        </row>
        <row r="450">
          <cell r="AL450" t="str">
            <v>Option Year 6ESDOverheadGovt</v>
          </cell>
          <cell r="AM450">
            <v>3.1E-2</v>
          </cell>
        </row>
        <row r="451">
          <cell r="AL451" t="str">
            <v>Option Year 6ESDMHContr/Govt</v>
          </cell>
          <cell r="AM451">
            <v>2.86E-2</v>
          </cell>
        </row>
        <row r="452">
          <cell r="AL452" t="str">
            <v>Option Year 6ESDG&amp;AContr/Govt</v>
          </cell>
          <cell r="AM452">
            <v>8.6599999999999996E-2</v>
          </cell>
        </row>
        <row r="453">
          <cell r="AL453" t="str">
            <v>Option Year 6ESDTBD1Contr/Govt</v>
          </cell>
          <cell r="AM453">
            <v>0</v>
          </cell>
        </row>
        <row r="454">
          <cell r="AL454" t="str">
            <v>Option Year 6ESDTBD2Contr/Govt</v>
          </cell>
          <cell r="AM454">
            <v>0</v>
          </cell>
        </row>
        <row r="455">
          <cell r="AL455" t="str">
            <v>Option Year 6ESDTBD3Contr/Govt</v>
          </cell>
          <cell r="AM455">
            <v>0</v>
          </cell>
        </row>
        <row r="460">
          <cell r="AL460" t="str">
            <v>Option Year 7ESDPRBContr/Govt</v>
          </cell>
          <cell r="AM460">
            <v>0.35099999999999998</v>
          </cell>
        </row>
        <row r="461">
          <cell r="AL461" t="str">
            <v>Option Year 7ESDOverheadContr</v>
          </cell>
          <cell r="AM461">
            <v>0.17249999999999999</v>
          </cell>
        </row>
        <row r="462">
          <cell r="AL462" t="str">
            <v>Option Year 7ESDOverheadGovt</v>
          </cell>
          <cell r="AM462">
            <v>3.1E-2</v>
          </cell>
        </row>
        <row r="463">
          <cell r="AL463" t="str">
            <v>Option Year 7ESDMHContr/Govt</v>
          </cell>
          <cell r="AM463">
            <v>2.86E-2</v>
          </cell>
        </row>
        <row r="464">
          <cell r="AL464" t="str">
            <v>Option Year 7ESDG&amp;AContr/Govt</v>
          </cell>
          <cell r="AM464">
            <v>8.6599999999999996E-2</v>
          </cell>
        </row>
        <row r="465">
          <cell r="AL465" t="str">
            <v>Option Year 7ESDTBD1Contr/Govt</v>
          </cell>
          <cell r="AM465">
            <v>0</v>
          </cell>
        </row>
        <row r="466">
          <cell r="AL466" t="str">
            <v>Option Year 7ESDTBD2Contr/Govt</v>
          </cell>
          <cell r="AM466">
            <v>0</v>
          </cell>
        </row>
        <row r="467">
          <cell r="AL467" t="str">
            <v>Option Year 7ESDTBD3Contr/Govt</v>
          </cell>
          <cell r="AM467">
            <v>0</v>
          </cell>
        </row>
        <row r="472">
          <cell r="AL472" t="str">
            <v>Option Year 8ESDPRBContr/Govt</v>
          </cell>
          <cell r="AM472">
            <v>0.11700000000000001</v>
          </cell>
        </row>
        <row r="473">
          <cell r="AL473" t="str">
            <v>Option Year 8ESDOverheadContr</v>
          </cell>
          <cell r="AM473">
            <v>5.7500000000000002E-2</v>
          </cell>
        </row>
        <row r="474">
          <cell r="AL474" t="str">
            <v>Option Year 8ESDOverheadGovt</v>
          </cell>
          <cell r="AM474">
            <v>1.03E-2</v>
          </cell>
        </row>
        <row r="475">
          <cell r="AL475" t="str">
            <v>Option Year 8ESDMHContr/Govt</v>
          </cell>
          <cell r="AM475">
            <v>9.4999999999999998E-3</v>
          </cell>
        </row>
        <row r="476">
          <cell r="AL476" t="str">
            <v>Option Year 8ESDG&amp;AContr/Govt</v>
          </cell>
          <cell r="AM476">
            <v>2.8899999999999999E-2</v>
          </cell>
        </row>
        <row r="477">
          <cell r="AL477" t="str">
            <v>Option Year 8ESDTBD1Contr/Govt</v>
          </cell>
          <cell r="AM477">
            <v>0</v>
          </cell>
        </row>
        <row r="478">
          <cell r="AL478" t="str">
            <v>Option Year 8ESDTBD2Contr/Govt</v>
          </cell>
          <cell r="AM478">
            <v>0</v>
          </cell>
        </row>
        <row r="479">
          <cell r="AL479" t="str">
            <v>Option Year 8ESDTBD3Contr/Govt</v>
          </cell>
          <cell r="AM479">
            <v>0</v>
          </cell>
        </row>
        <row r="484">
          <cell r="AL484" t="str">
            <v>Option Year 9ESDPRBContr/Govt</v>
          </cell>
          <cell r="AM484">
            <v>0</v>
          </cell>
        </row>
        <row r="485">
          <cell r="AL485" t="str">
            <v>Option Year 9ESDOverheadContr</v>
          </cell>
          <cell r="AM485">
            <v>0</v>
          </cell>
        </row>
        <row r="486">
          <cell r="AL486" t="str">
            <v>Option Year 9ESDOverheadGovt</v>
          </cell>
          <cell r="AM486">
            <v>0</v>
          </cell>
        </row>
        <row r="487">
          <cell r="AL487" t="str">
            <v>Option Year 9ESDMHContr/Govt</v>
          </cell>
          <cell r="AM487">
            <v>0</v>
          </cell>
        </row>
        <row r="488">
          <cell r="AL488" t="str">
            <v>Option Year 9ESDG&amp;AContr/Govt</v>
          </cell>
          <cell r="AM488">
            <v>0</v>
          </cell>
        </row>
        <row r="489">
          <cell r="AL489" t="str">
            <v>Option Year 9ESDTBD1Contr/Govt</v>
          </cell>
          <cell r="AM489">
            <v>0</v>
          </cell>
        </row>
        <row r="490">
          <cell r="AL490" t="str">
            <v>Option Year 9ESDTBD2Contr/Govt</v>
          </cell>
          <cell r="AM490">
            <v>0</v>
          </cell>
        </row>
        <row r="491">
          <cell r="AL491" t="str">
            <v>Option Year 9ESDTBD3Contr/Govt</v>
          </cell>
          <cell r="AM491">
            <v>0</v>
          </cell>
        </row>
        <row r="496">
          <cell r="AL496" t="str">
            <v>Option Year 10ESDPRBContr/Govt</v>
          </cell>
          <cell r="AM496">
            <v>0</v>
          </cell>
        </row>
        <row r="497">
          <cell r="AL497" t="str">
            <v>Option Year 10ESDOverheadContr</v>
          </cell>
          <cell r="AM497">
            <v>0</v>
          </cell>
        </row>
        <row r="498">
          <cell r="AL498" t="str">
            <v>Option Year 10ESDOverheadGovt</v>
          </cell>
          <cell r="AM498">
            <v>0</v>
          </cell>
        </row>
        <row r="499">
          <cell r="AL499" t="str">
            <v>Option Year 10ESDMHContr/Govt</v>
          </cell>
          <cell r="AM499">
            <v>0</v>
          </cell>
        </row>
        <row r="500">
          <cell r="AL500" t="str">
            <v>Option Year 10ESDG&amp;AContr/Govt</v>
          </cell>
          <cell r="AM500">
            <v>0</v>
          </cell>
        </row>
        <row r="501">
          <cell r="AL501" t="str">
            <v>Option Year 10ESDTBD1Contr/Govt</v>
          </cell>
          <cell r="AM501">
            <v>0</v>
          </cell>
        </row>
        <row r="502">
          <cell r="AL502" t="str">
            <v>Option Year 10ESDTBD2Contr/Govt</v>
          </cell>
          <cell r="AM502">
            <v>0</v>
          </cell>
        </row>
        <row r="503">
          <cell r="AL503" t="str">
            <v>Option Year 10ESDTBD3Contr/Govt</v>
          </cell>
          <cell r="AM503">
            <v>0</v>
          </cell>
        </row>
        <row r="508">
          <cell r="AL508" t="str">
            <v>Option Year 11ESDPRBContr/Govt</v>
          </cell>
          <cell r="AM508">
            <v>0</v>
          </cell>
        </row>
        <row r="509">
          <cell r="AL509" t="str">
            <v>Option Year 11ESDOverheadContr</v>
          </cell>
          <cell r="AM509">
            <v>0</v>
          </cell>
        </row>
        <row r="510">
          <cell r="AL510" t="str">
            <v>Option Year 11ESDOverheadGovt</v>
          </cell>
          <cell r="AM510">
            <v>0</v>
          </cell>
        </row>
        <row r="511">
          <cell r="AL511" t="str">
            <v>Option Year 11ESDMHContr/Govt</v>
          </cell>
          <cell r="AM511">
            <v>0</v>
          </cell>
        </row>
        <row r="512">
          <cell r="AL512" t="str">
            <v>Option Year 11ESDG&amp;AContr/Govt</v>
          </cell>
          <cell r="AM512">
            <v>0</v>
          </cell>
        </row>
        <row r="513">
          <cell r="AL513" t="str">
            <v>Option Year 11ESDTBD1Contr/Govt</v>
          </cell>
          <cell r="AM513">
            <v>0</v>
          </cell>
        </row>
        <row r="514">
          <cell r="AL514" t="str">
            <v>Option Year 11ESDTBD2Contr/Govt</v>
          </cell>
          <cell r="AM514">
            <v>0</v>
          </cell>
        </row>
        <row r="515">
          <cell r="AL515" t="str">
            <v>Option Year 11ESDTBD3Contr/Govt</v>
          </cell>
          <cell r="AM515">
            <v>0</v>
          </cell>
        </row>
        <row r="520">
          <cell r="AL520" t="str">
            <v>Option Year 12ESDPRBContr/Govt</v>
          </cell>
          <cell r="AM520">
            <v>0</v>
          </cell>
        </row>
        <row r="521">
          <cell r="AL521" t="str">
            <v>Option Year 12ESDOverheadContr</v>
          </cell>
          <cell r="AM521">
            <v>0</v>
          </cell>
        </row>
        <row r="522">
          <cell r="AL522" t="str">
            <v>Option Year 12ESDOverheadGovt</v>
          </cell>
          <cell r="AM522">
            <v>0</v>
          </cell>
        </row>
        <row r="523">
          <cell r="AL523" t="str">
            <v>Option Year 12ESDMHContr/Govt</v>
          </cell>
          <cell r="AM523">
            <v>0</v>
          </cell>
        </row>
        <row r="524">
          <cell r="AL524" t="str">
            <v>Option Year 12ESDG&amp;AContr/Govt</v>
          </cell>
          <cell r="AM524">
            <v>0</v>
          </cell>
        </row>
        <row r="525">
          <cell r="AL525" t="str">
            <v>Option Year 12ESDTBD1Contr/Govt</v>
          </cell>
          <cell r="AM525">
            <v>0</v>
          </cell>
        </row>
        <row r="526">
          <cell r="AL526" t="str">
            <v>Option Year 12ESDTBD2Contr/Govt</v>
          </cell>
          <cell r="AM526">
            <v>0</v>
          </cell>
        </row>
        <row r="527">
          <cell r="AL527" t="str">
            <v>Option Year 12ESDTBD3Contr/Govt</v>
          </cell>
          <cell r="AM527">
            <v>0</v>
          </cell>
        </row>
        <row r="532">
          <cell r="AL532" t="str">
            <v>Option Year 13ESDPRBContr/Govt</v>
          </cell>
          <cell r="AM532">
            <v>0</v>
          </cell>
        </row>
        <row r="533">
          <cell r="AL533" t="str">
            <v>Option Year 13ESDOverheadContr</v>
          </cell>
          <cell r="AM533">
            <v>0</v>
          </cell>
        </row>
        <row r="534">
          <cell r="AL534" t="str">
            <v>Option Year 13ESDOverheadGovt</v>
          </cell>
          <cell r="AM534">
            <v>0</v>
          </cell>
        </row>
        <row r="535">
          <cell r="AL535" t="str">
            <v>Option Year 13ESDMHContr/Govt</v>
          </cell>
          <cell r="AM535">
            <v>0</v>
          </cell>
        </row>
        <row r="536">
          <cell r="AL536" t="str">
            <v>Option Year 13ESDG&amp;AContr/Govt</v>
          </cell>
          <cell r="AM536">
            <v>0</v>
          </cell>
        </row>
        <row r="537">
          <cell r="AL537" t="str">
            <v>Option Year 13ESDTBD1Contr/Govt</v>
          </cell>
          <cell r="AM537">
            <v>0</v>
          </cell>
        </row>
        <row r="538">
          <cell r="AL538" t="str">
            <v>Option Year 13ESDTBD2Contr/Govt</v>
          </cell>
          <cell r="AM538">
            <v>0</v>
          </cell>
        </row>
        <row r="539">
          <cell r="AL539" t="str">
            <v>Option Year 13ESDTBD3Contr/Govt</v>
          </cell>
          <cell r="AM539">
            <v>0</v>
          </cell>
        </row>
        <row r="544">
          <cell r="AL544" t="str">
            <v>Option Year 14ESDPRBContr/Govt</v>
          </cell>
          <cell r="AM544">
            <v>0</v>
          </cell>
        </row>
        <row r="545">
          <cell r="AL545" t="str">
            <v>Option Year 14ESDOverheadContr</v>
          </cell>
          <cell r="AM545">
            <v>0</v>
          </cell>
        </row>
        <row r="546">
          <cell r="AL546" t="str">
            <v>Option Year 14ESDOverheadGovt</v>
          </cell>
          <cell r="AM546">
            <v>0</v>
          </cell>
        </row>
        <row r="547">
          <cell r="AL547" t="str">
            <v>Option Year 14ESDMHContr/Govt</v>
          </cell>
          <cell r="AM547">
            <v>0</v>
          </cell>
        </row>
        <row r="548">
          <cell r="AL548" t="str">
            <v>Option Year 14ESDG&amp;AContr/Govt</v>
          </cell>
          <cell r="AM548">
            <v>0</v>
          </cell>
        </row>
        <row r="549">
          <cell r="AL549" t="str">
            <v>Option Year 14ESDTBD1Contr/Govt</v>
          </cell>
          <cell r="AM549">
            <v>0</v>
          </cell>
        </row>
        <row r="550">
          <cell r="AL550" t="str">
            <v>Option Year 14ESDTBD2Contr/Govt</v>
          </cell>
          <cell r="AM550">
            <v>0</v>
          </cell>
        </row>
        <row r="551">
          <cell r="AL551" t="str">
            <v>Option Year 14ESDTBD3Contr/Govt</v>
          </cell>
          <cell r="AM551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putSheet"/>
      <sheetName val="Summary-Base"/>
      <sheetName val="Summary-AwardTerm"/>
      <sheetName val="Yr1"/>
      <sheetName val="Yr2"/>
      <sheetName val="Yr3"/>
      <sheetName val="Yr4"/>
      <sheetName val="Yr5"/>
      <sheetName val="Yr6"/>
      <sheetName val="Yr6a"/>
      <sheetName val="Yr7"/>
      <sheetName val="Yr7a"/>
      <sheetName val="Yr8"/>
      <sheetName val="Yr8a"/>
      <sheetName val="Yr9"/>
      <sheetName val="Yr9a"/>
      <sheetName val="CPFF"/>
      <sheetName val="Summary"/>
      <sheetName val="Travel %'s"/>
      <sheetName val="Facility"/>
      <sheetName val="Indirects-MSTC"/>
      <sheetName val="Indirects-MADG"/>
      <sheetName val="FCCOM"/>
      <sheetName val="Ratebook"/>
      <sheetName val="Summary (Section B)"/>
      <sheetName val="Educ. &amp; Exp."/>
    </sheetNames>
    <sheetDataSet>
      <sheetData sheetId="0" refreshError="1">
        <row r="11">
          <cell r="A11" t="str">
            <v>Yr1</v>
          </cell>
          <cell r="B11" t="str">
            <v>Performance</v>
          </cell>
          <cell r="C11" t="str">
            <v>Base Period - Year I</v>
          </cell>
          <cell r="D11">
            <v>38200</v>
          </cell>
          <cell r="E11">
            <v>38564</v>
          </cell>
          <cell r="F11">
            <v>15</v>
          </cell>
          <cell r="H11">
            <v>1.03646025</v>
          </cell>
          <cell r="I11">
            <v>5</v>
          </cell>
          <cell r="J11">
            <v>7</v>
          </cell>
        </row>
        <row r="12">
          <cell r="A12" t="str">
            <v>Yr2</v>
          </cell>
          <cell r="C12" t="str">
            <v>Base Period - Year II</v>
          </cell>
          <cell r="D12">
            <v>38565</v>
          </cell>
          <cell r="E12">
            <v>38929</v>
          </cell>
          <cell r="F12">
            <v>27</v>
          </cell>
          <cell r="G12">
            <v>12</v>
          </cell>
          <cell r="H12">
            <v>1.0665175972499998</v>
          </cell>
          <cell r="I12">
            <v>5</v>
          </cell>
          <cell r="J12">
            <v>7</v>
          </cell>
        </row>
        <row r="13">
          <cell r="A13" t="str">
            <v>Yr3</v>
          </cell>
          <cell r="C13" t="str">
            <v>Base Period - Year III</v>
          </cell>
          <cell r="D13">
            <v>38930</v>
          </cell>
          <cell r="E13">
            <v>39294</v>
          </cell>
          <cell r="F13">
            <v>39</v>
          </cell>
          <cell r="G13">
            <v>12</v>
          </cell>
          <cell r="H13">
            <v>1.0974466075702498</v>
          </cell>
          <cell r="I13">
            <v>5</v>
          </cell>
          <cell r="J13">
            <v>7</v>
          </cell>
        </row>
        <row r="14">
          <cell r="A14" t="str">
            <v>Yr4</v>
          </cell>
          <cell r="C14" t="str">
            <v>Base Period - Year IV</v>
          </cell>
          <cell r="D14">
            <v>39295</v>
          </cell>
          <cell r="E14">
            <v>39660</v>
          </cell>
          <cell r="F14">
            <v>51</v>
          </cell>
          <cell r="G14">
            <v>12</v>
          </cell>
          <cell r="H14">
            <v>1.129272559189787</v>
          </cell>
          <cell r="I14">
            <v>5</v>
          </cell>
          <cell r="J14">
            <v>7</v>
          </cell>
        </row>
        <row r="15">
          <cell r="A15" t="str">
            <v>Yr5</v>
          </cell>
          <cell r="C15" t="str">
            <v>Base Period - Year V</v>
          </cell>
          <cell r="D15">
            <v>39661</v>
          </cell>
          <cell r="E15">
            <v>40025</v>
          </cell>
          <cell r="F15">
            <v>63</v>
          </cell>
          <cell r="G15">
            <v>12</v>
          </cell>
          <cell r="H15">
            <v>1.1620214634062906</v>
          </cell>
          <cell r="I15">
            <v>5</v>
          </cell>
          <cell r="J15">
            <v>7</v>
          </cell>
        </row>
        <row r="16">
          <cell r="A16" t="str">
            <v>Yr6</v>
          </cell>
          <cell r="C16" t="str">
            <v>Award Term - Period I</v>
          </cell>
          <cell r="D16">
            <v>40026</v>
          </cell>
          <cell r="E16">
            <v>40209.5</v>
          </cell>
          <cell r="F16">
            <v>72</v>
          </cell>
          <cell r="G16">
            <v>9</v>
          </cell>
          <cell r="H16">
            <v>1.187113512876717</v>
          </cell>
          <cell r="I16">
            <v>-7</v>
          </cell>
          <cell r="J16">
            <v>13</v>
          </cell>
        </row>
        <row r="17">
          <cell r="A17" t="str">
            <v>Yr6a</v>
          </cell>
          <cell r="C17" t="str">
            <v>Award Term - Period II</v>
          </cell>
          <cell r="D17">
            <v>40210.5</v>
          </cell>
          <cell r="E17">
            <v>40390</v>
          </cell>
          <cell r="F17">
            <v>78</v>
          </cell>
          <cell r="G17">
            <v>6</v>
          </cell>
          <cell r="H17">
            <v>1.2043266588134294</v>
          </cell>
          <cell r="I17">
            <v>-13</v>
          </cell>
          <cell r="J17">
            <v>19</v>
          </cell>
        </row>
        <row r="18">
          <cell r="A18" t="str">
            <v>Yr7</v>
          </cell>
          <cell r="C18" t="str">
            <v>Award Term - Period III</v>
          </cell>
          <cell r="D18">
            <v>40391</v>
          </cell>
          <cell r="E18">
            <v>40574.5</v>
          </cell>
          <cell r="F18">
            <v>84</v>
          </cell>
          <cell r="G18">
            <v>6</v>
          </cell>
          <cell r="H18">
            <v>1.2215398047501418</v>
          </cell>
          <cell r="I18">
            <v>-19</v>
          </cell>
          <cell r="J18">
            <v>25</v>
          </cell>
        </row>
        <row r="19">
          <cell r="A19" t="str">
            <v>Yr7a</v>
          </cell>
          <cell r="C19" t="str">
            <v>Award Term - Period IV</v>
          </cell>
          <cell r="D19">
            <v>40575.5</v>
          </cell>
          <cell r="E19">
            <v>40755</v>
          </cell>
          <cell r="F19">
            <v>90</v>
          </cell>
          <cell r="G19">
            <v>6</v>
          </cell>
          <cell r="H19">
            <v>1.2392521319190188</v>
          </cell>
          <cell r="I19">
            <v>-25</v>
          </cell>
          <cell r="J19">
            <v>31</v>
          </cell>
        </row>
        <row r="20">
          <cell r="A20" t="str">
            <v>Yr8</v>
          </cell>
          <cell r="C20" t="str">
            <v>Award Term - Period V</v>
          </cell>
          <cell r="D20">
            <v>40756</v>
          </cell>
          <cell r="E20">
            <v>40939</v>
          </cell>
          <cell r="F20">
            <v>96</v>
          </cell>
          <cell r="G20">
            <v>6</v>
          </cell>
          <cell r="H20">
            <v>1.2569644590878959</v>
          </cell>
          <cell r="I20">
            <v>-31</v>
          </cell>
          <cell r="J20">
            <v>37</v>
          </cell>
        </row>
        <row r="21">
          <cell r="A21" t="str">
            <v>Yr8a</v>
          </cell>
          <cell r="C21" t="str">
            <v>Award Term - Period VI</v>
          </cell>
          <cell r="D21">
            <v>40940</v>
          </cell>
          <cell r="E21">
            <v>41121</v>
          </cell>
          <cell r="F21">
            <v>102</v>
          </cell>
          <cell r="G21">
            <v>6</v>
          </cell>
          <cell r="H21">
            <v>1.2751904437446704</v>
          </cell>
          <cell r="I21">
            <v>-37</v>
          </cell>
          <cell r="J21">
            <v>43</v>
          </cell>
        </row>
        <row r="22">
          <cell r="A22" t="str">
            <v>Yr9</v>
          </cell>
          <cell r="C22" t="str">
            <v>Award Term - Period VII</v>
          </cell>
          <cell r="D22">
            <v>41122</v>
          </cell>
          <cell r="E22">
            <v>41305</v>
          </cell>
          <cell r="F22">
            <v>108</v>
          </cell>
          <cell r="G22">
            <v>6</v>
          </cell>
          <cell r="H22">
            <v>1.2934164284014447</v>
          </cell>
          <cell r="I22">
            <v>-43</v>
          </cell>
          <cell r="J22">
            <v>49</v>
          </cell>
        </row>
        <row r="23">
          <cell r="A23" t="str">
            <v>Yr9a</v>
          </cell>
          <cell r="C23" t="str">
            <v>Award Term - Period VIII</v>
          </cell>
          <cell r="D23">
            <v>41306</v>
          </cell>
          <cell r="E23">
            <v>41486</v>
          </cell>
          <cell r="F23">
            <v>114</v>
          </cell>
          <cell r="G23">
            <v>6</v>
          </cell>
          <cell r="H23">
            <v>1.3121709666132655</v>
          </cell>
          <cell r="I23">
            <v>-49</v>
          </cell>
          <cell r="J23">
            <v>55</v>
          </cell>
        </row>
        <row r="24">
          <cell r="A24" t="str">
            <v>Total</v>
          </cell>
          <cell r="C24" t="str">
            <v>All Years</v>
          </cell>
          <cell r="D24">
            <v>38200</v>
          </cell>
          <cell r="E24">
            <v>41486</v>
          </cell>
          <cell r="F24">
            <v>63</v>
          </cell>
          <cell r="G24">
            <v>0</v>
          </cell>
          <cell r="H24">
            <v>1.1620214634062906</v>
          </cell>
          <cell r="I24">
            <v>53</v>
          </cell>
          <cell r="J24">
            <v>55</v>
          </cell>
        </row>
        <row r="26">
          <cell r="B26" t="str">
            <v>Escalation</v>
          </cell>
          <cell r="C26" t="str">
            <v>Non SCA/WD</v>
          </cell>
          <cell r="D26">
            <v>2.9000000000000001E-2</v>
          </cell>
        </row>
        <row r="27">
          <cell r="C27" t="str">
            <v>SCA/WD</v>
          </cell>
          <cell r="D27">
            <v>0</v>
          </cell>
        </row>
        <row r="29">
          <cell r="B29" t="str">
            <v>Indirect</v>
          </cell>
          <cell r="C29" t="str">
            <v>Description</v>
          </cell>
          <cell r="D29">
            <v>2004</v>
          </cell>
          <cell r="E29">
            <v>2005</v>
          </cell>
          <cell r="F29">
            <v>2006</v>
          </cell>
          <cell r="G29">
            <v>2007</v>
          </cell>
          <cell r="H29">
            <v>2008</v>
          </cell>
          <cell r="I29">
            <v>2009</v>
          </cell>
          <cell r="J29">
            <v>2010</v>
          </cell>
        </row>
        <row r="30">
          <cell r="B30" t="str">
            <v>Rate Schd</v>
          </cell>
          <cell r="C30" t="str">
            <v>Cost Ctr</v>
          </cell>
          <cell r="D30" t="str">
            <v>MSTC IT</v>
          </cell>
        </row>
        <row r="31">
          <cell r="C31" t="str">
            <v>Payroll Burden</v>
          </cell>
          <cell r="D31">
            <v>0.32400000000000001</v>
          </cell>
          <cell r="E31">
            <v>0.32400000000000001</v>
          </cell>
          <cell r="F31">
            <v>0.32400000000000001</v>
          </cell>
          <cell r="G31">
            <v>0.32400000000000001</v>
          </cell>
          <cell r="H31">
            <v>0.32400000000000001</v>
          </cell>
          <cell r="I31">
            <v>0.32400000000000001</v>
          </cell>
          <cell r="J31">
            <v>0.32400000000000001</v>
          </cell>
        </row>
        <row r="32">
          <cell r="C32" t="str">
            <v>Overhead - Offsite</v>
          </cell>
          <cell r="D32">
            <v>0.21</v>
          </cell>
          <cell r="E32">
            <v>0.21</v>
          </cell>
          <cell r="F32">
            <v>0.21</v>
          </cell>
          <cell r="G32">
            <v>0.21</v>
          </cell>
          <cell r="H32">
            <v>0.21</v>
          </cell>
          <cell r="I32">
            <v>0.21</v>
          </cell>
          <cell r="J32">
            <v>0.21</v>
          </cell>
        </row>
        <row r="33">
          <cell r="C33" t="str">
            <v>Overhead - Onsite</v>
          </cell>
          <cell r="D33">
            <v>8.0000000000000002E-3</v>
          </cell>
          <cell r="E33">
            <v>8.0000000000000002E-3</v>
          </cell>
          <cell r="F33">
            <v>8.0000000000000002E-3</v>
          </cell>
          <cell r="G33">
            <v>8.0000000000000002E-3</v>
          </cell>
          <cell r="H33">
            <v>8.0000000000000002E-3</v>
          </cell>
          <cell r="I33">
            <v>8.0000000000000002E-3</v>
          </cell>
          <cell r="J33">
            <v>8.0000000000000002E-3</v>
          </cell>
        </row>
        <row r="34">
          <cell r="C34" t="str">
            <v>Material Handling</v>
          </cell>
          <cell r="D34">
            <v>0.02</v>
          </cell>
          <cell r="E34">
            <v>0.02</v>
          </cell>
          <cell r="F34">
            <v>0.02</v>
          </cell>
          <cell r="G34">
            <v>0.02</v>
          </cell>
          <cell r="H34">
            <v>0.02</v>
          </cell>
          <cell r="I34">
            <v>0.02</v>
          </cell>
          <cell r="J34">
            <v>0.02</v>
          </cell>
        </row>
        <row r="35">
          <cell r="C35" t="str">
            <v>G&amp;A</v>
          </cell>
          <cell r="D35">
            <v>0.15</v>
          </cell>
          <cell r="E35">
            <v>0.1444</v>
          </cell>
          <cell r="F35">
            <v>0.13930000000000001</v>
          </cell>
          <cell r="G35">
            <v>0.1346</v>
          </cell>
          <cell r="H35">
            <v>0.1303</v>
          </cell>
          <cell r="I35">
            <v>0.1303</v>
          </cell>
          <cell r="J35">
            <v>0.1303</v>
          </cell>
        </row>
        <row r="36">
          <cell r="C36" t="str">
            <v>FCCOM - Off OH</v>
          </cell>
          <cell r="D36">
            <v>2.0100000000000001E-3</v>
          </cell>
          <cell r="E36">
            <v>2.0100000000000001E-3</v>
          </cell>
          <cell r="F36">
            <v>2.0100000000000001E-3</v>
          </cell>
          <cell r="G36">
            <v>2.0100000000000001E-3</v>
          </cell>
          <cell r="H36">
            <v>2.0100000000000001E-3</v>
          </cell>
          <cell r="I36">
            <v>2.0100000000000001E-3</v>
          </cell>
          <cell r="J36">
            <v>2.0100000000000001E-3</v>
          </cell>
        </row>
        <row r="37">
          <cell r="C37" t="str">
            <v>FCCOM - On OH</v>
          </cell>
          <cell r="D37">
            <v>1.0000000000000001E-5</v>
          </cell>
          <cell r="E37">
            <v>1.0000000000000001E-5</v>
          </cell>
          <cell r="F37">
            <v>1.0000000000000001E-5</v>
          </cell>
          <cell r="G37">
            <v>1.0000000000000001E-5</v>
          </cell>
          <cell r="H37">
            <v>1.0000000000000001E-5</v>
          </cell>
          <cell r="I37">
            <v>1.0000000000000001E-5</v>
          </cell>
          <cell r="J37">
            <v>1.0000000000000001E-5</v>
          </cell>
        </row>
        <row r="38">
          <cell r="C38" t="str">
            <v>FCCOM - G&amp;A</v>
          </cell>
          <cell r="D38">
            <v>4.4000000000000002E-4</v>
          </cell>
          <cell r="E38">
            <v>4.4000000000000002E-4</v>
          </cell>
          <cell r="F38">
            <v>4.4000000000000002E-4</v>
          </cell>
          <cell r="G38">
            <v>4.4000000000000002E-4</v>
          </cell>
          <cell r="H38">
            <v>4.4000000000000002E-4</v>
          </cell>
          <cell r="I38">
            <v>4.4000000000000002E-4</v>
          </cell>
          <cell r="J38">
            <v>4.4000000000000002E-4</v>
          </cell>
        </row>
        <row r="40">
          <cell r="B40" t="str">
            <v>Indirect</v>
          </cell>
          <cell r="C40" t="str">
            <v>Description</v>
          </cell>
          <cell r="D40">
            <v>2004</v>
          </cell>
          <cell r="E40">
            <v>2005</v>
          </cell>
          <cell r="F40">
            <v>2006</v>
          </cell>
          <cell r="G40">
            <v>2007</v>
          </cell>
          <cell r="H40">
            <v>2008</v>
          </cell>
          <cell r="I40">
            <v>2009</v>
          </cell>
          <cell r="J40">
            <v>2010</v>
          </cell>
        </row>
        <row r="41">
          <cell r="B41" t="str">
            <v>Rate Schd</v>
          </cell>
          <cell r="C41" t="str">
            <v>Cost Ctr</v>
          </cell>
          <cell r="D41" t="str">
            <v>MADG</v>
          </cell>
        </row>
        <row r="42">
          <cell r="C42" t="str">
            <v>Payroll Burden</v>
          </cell>
          <cell r="D42">
            <v>0.32400000000000001</v>
          </cell>
          <cell r="E42">
            <v>0.32400000000000001</v>
          </cell>
          <cell r="F42">
            <v>0.32400000000000001</v>
          </cell>
          <cell r="G42">
            <v>0.32400000000000001</v>
          </cell>
          <cell r="H42">
            <v>0.32400000000000001</v>
          </cell>
          <cell r="I42">
            <v>0.32400000000000001</v>
          </cell>
          <cell r="J42">
            <v>0.32400000000000001</v>
          </cell>
        </row>
        <row r="43">
          <cell r="C43" t="str">
            <v>Overhead - Offsite</v>
          </cell>
          <cell r="D43">
            <v>0.17800424043319313</v>
          </cell>
          <cell r="E43">
            <v>0.17189167929569629</v>
          </cell>
          <cell r="F43">
            <v>0.173069861437636</v>
          </cell>
          <cell r="G43">
            <v>0.17414201313538186</v>
          </cell>
          <cell r="H43">
            <v>0.17511570551412675</v>
          </cell>
          <cell r="I43">
            <v>0.17511570551412675</v>
          </cell>
          <cell r="J43">
            <v>0.17511570551412675</v>
          </cell>
        </row>
        <row r="44">
          <cell r="C44" t="str">
            <v>Overhead - Onsite</v>
          </cell>
          <cell r="D44">
            <v>5.8162691790475944E-2</v>
          </cell>
          <cell r="E44">
            <v>4.6474316453454526E-2</v>
          </cell>
          <cell r="F44">
            <v>4.8278856054527759E-2</v>
          </cell>
          <cell r="G44">
            <v>5.0073005827539173E-2</v>
          </cell>
          <cell r="H44">
            <v>5.1841796143611341E-2</v>
          </cell>
          <cell r="I44">
            <v>5.1841796143611341E-2</v>
          </cell>
          <cell r="J44">
            <v>5.1841796143611341E-2</v>
          </cell>
        </row>
        <row r="45">
          <cell r="C45" t="str">
            <v>Material Handling</v>
          </cell>
          <cell r="D45">
            <v>2.1999999999999999E-2</v>
          </cell>
          <cell r="E45">
            <v>2.1999999999999999E-2</v>
          </cell>
          <cell r="F45">
            <v>2.1999999999999999E-2</v>
          </cell>
          <cell r="G45">
            <v>2.1999999999999999E-2</v>
          </cell>
          <cell r="H45">
            <v>2.1999999999999999E-2</v>
          </cell>
          <cell r="I45">
            <v>2.1999999999999999E-2</v>
          </cell>
          <cell r="J45">
            <v>2.1999999999999999E-2</v>
          </cell>
        </row>
        <row r="46">
          <cell r="C46" t="str">
            <v>G&amp;A</v>
          </cell>
          <cell r="D46">
            <v>0.21269279756057963</v>
          </cell>
          <cell r="E46">
            <v>0.20639698065493886</v>
          </cell>
          <cell r="F46">
            <v>0.20300149116721808</v>
          </cell>
          <cell r="G46">
            <v>0.19985916185040181</v>
          </cell>
          <cell r="H46">
            <v>0.19698125984268749</v>
          </cell>
          <cell r="I46">
            <v>0.19698125984268749</v>
          </cell>
          <cell r="J46">
            <v>0.19698125984268749</v>
          </cell>
        </row>
        <row r="47">
          <cell r="C47" t="str">
            <v>FCCOM - Off OH</v>
          </cell>
          <cell r="D47">
            <v>1.15E-3</v>
          </cell>
          <cell r="E47">
            <v>1.15E-3</v>
          </cell>
          <cell r="F47">
            <v>1.15E-3</v>
          </cell>
          <cell r="G47">
            <v>1.15E-3</v>
          </cell>
          <cell r="H47">
            <v>1.15E-3</v>
          </cell>
          <cell r="I47">
            <v>1.15E-3</v>
          </cell>
          <cell r="J47">
            <v>1.15E-3</v>
          </cell>
        </row>
        <row r="48">
          <cell r="C48" t="str">
            <v>FCCOM - On OH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C49" t="str">
            <v>FCCOM - G&amp;A</v>
          </cell>
          <cell r="D49">
            <v>4.2999999999999999E-4</v>
          </cell>
          <cell r="E49">
            <v>4.2999999999999999E-4</v>
          </cell>
          <cell r="F49">
            <v>4.2999999999999999E-4</v>
          </cell>
          <cell r="G49">
            <v>4.2999999999999999E-4</v>
          </cell>
          <cell r="H49">
            <v>4.2999999999999999E-4</v>
          </cell>
          <cell r="I49">
            <v>4.2999999999999999E-4</v>
          </cell>
          <cell r="J49">
            <v>4.2999999999999999E-4</v>
          </cell>
        </row>
        <row r="51">
          <cell r="B51" t="str">
            <v>Fixed Fee</v>
          </cell>
          <cell r="C51" t="str">
            <v>Standard</v>
          </cell>
          <cell r="D51">
            <v>0.106</v>
          </cell>
          <cell r="E51" t="str">
            <v>A</v>
          </cell>
          <cell r="F51">
            <v>75582969.077862352</v>
          </cell>
          <cell r="G51" t="str">
            <v>Total CPFF</v>
          </cell>
          <cell r="I51">
            <v>1316250</v>
          </cell>
        </row>
        <row r="52">
          <cell r="C52" t="str">
            <v>Matl / ODC</v>
          </cell>
          <cell r="D52">
            <v>0</v>
          </cell>
          <cell r="E52" t="str">
            <v>B</v>
          </cell>
          <cell r="F52">
            <v>4.9987914612172633E-2</v>
          </cell>
          <cell r="G52" t="str">
            <v>Effective Fee</v>
          </cell>
        </row>
        <row r="53">
          <cell r="C53" t="str">
            <v>Fee On Subs</v>
          </cell>
          <cell r="D53">
            <v>0.05</v>
          </cell>
          <cell r="E53" t="str">
            <v>C</v>
          </cell>
        </row>
        <row r="55">
          <cell r="B55" t="str">
            <v>Subcontracts</v>
          </cell>
          <cell r="C55" t="str">
            <v>Name</v>
          </cell>
          <cell r="D55" t="str">
            <v>Size</v>
          </cell>
          <cell r="E55" t="str">
            <v>Fee/Profit %</v>
          </cell>
          <cell r="F55" t="str">
            <v>Esc %</v>
          </cell>
          <cell r="G55" t="str">
            <v>$ %</v>
          </cell>
          <cell r="H55" t="str">
            <v>Total $</v>
          </cell>
          <cell r="I55" t="str">
            <v>Hours</v>
          </cell>
          <cell r="J55" t="str">
            <v>% LOE</v>
          </cell>
        </row>
        <row r="56">
          <cell r="A56" t="str">
            <v>CUBIC</v>
          </cell>
          <cell r="C56" t="str">
            <v>CUBIC</v>
          </cell>
          <cell r="D56" t="str">
            <v>Large</v>
          </cell>
          <cell r="E56">
            <v>0.05</v>
          </cell>
          <cell r="F56">
            <v>3.5000000000000003E-2</v>
          </cell>
          <cell r="G56">
            <v>0.10327385964368314</v>
          </cell>
          <cell r="H56">
            <v>7805744.9399999995</v>
          </cell>
          <cell r="I56">
            <v>133020</v>
          </cell>
          <cell r="J56">
            <v>0.10105982905982906</v>
          </cell>
        </row>
        <row r="57">
          <cell r="A57" t="str">
            <v>Cynosure</v>
          </cell>
          <cell r="C57" t="str">
            <v>Cynosure</v>
          </cell>
          <cell r="D57" t="str">
            <v>SB</v>
          </cell>
          <cell r="E57">
            <v>0.05</v>
          </cell>
          <cell r="F57">
            <v>3.5000000000000003E-2</v>
          </cell>
          <cell r="G57">
            <v>4.0983774358068777E-2</v>
          </cell>
          <cell r="H57">
            <v>3097675.35</v>
          </cell>
          <cell r="I57">
            <v>72000</v>
          </cell>
          <cell r="J57">
            <v>5.4700854700854701E-2</v>
          </cell>
        </row>
        <row r="58">
          <cell r="A58" t="str">
            <v>G2</v>
          </cell>
          <cell r="C58" t="str">
            <v>G2</v>
          </cell>
          <cell r="D58" t="str">
            <v>WOSB</v>
          </cell>
          <cell r="E58">
            <v>0.05</v>
          </cell>
          <cell r="F58">
            <v>3.5000000000000003E-2</v>
          </cell>
          <cell r="G58">
            <v>9.5083038383906443E-2</v>
          </cell>
          <cell r="H58">
            <v>7186658.3499999996</v>
          </cell>
          <cell r="I58">
            <v>199800</v>
          </cell>
          <cell r="J58">
            <v>0.15179487179487181</v>
          </cell>
        </row>
        <row r="59">
          <cell r="A59" t="str">
            <v>SDS</v>
          </cell>
          <cell r="C59" t="str">
            <v>SDS</v>
          </cell>
          <cell r="D59" t="str">
            <v>VOSB</v>
          </cell>
          <cell r="E59">
            <v>0.05</v>
          </cell>
          <cell r="F59">
            <v>3.5000000000000003E-2</v>
          </cell>
          <cell r="G59">
            <v>0.11866884646672407</v>
          </cell>
          <cell r="H59">
            <v>8969343.7530000005</v>
          </cell>
          <cell r="I59">
            <v>167805</v>
          </cell>
          <cell r="J59">
            <v>0.1274871794871795</v>
          </cell>
        </row>
        <row r="60">
          <cell r="A60" t="str">
            <v>Moore Group</v>
          </cell>
          <cell r="C60" t="str">
            <v>Moore Group</v>
          </cell>
          <cell r="D60" t="str">
            <v>WOSB</v>
          </cell>
          <cell r="E60">
            <v>0.05</v>
          </cell>
          <cell r="F60">
            <v>3.5000000000000003E-2</v>
          </cell>
          <cell r="G60">
            <v>2.3952762402532527E-2</v>
          </cell>
          <cell r="H60">
            <v>1810420.9</v>
          </cell>
          <cell r="I60">
            <v>28800</v>
          </cell>
          <cell r="J60">
            <v>2.188034188034188E-2</v>
          </cell>
        </row>
        <row r="61">
          <cell r="A61" t="str">
            <v>Koam</v>
          </cell>
          <cell r="C61" t="str">
            <v>Koam</v>
          </cell>
          <cell r="D61" t="str">
            <v>SDB</v>
          </cell>
          <cell r="E61">
            <v>0.05</v>
          </cell>
          <cell r="F61">
            <v>3.5000000000000003E-2</v>
          </cell>
          <cell r="G61">
            <v>8.7960422580795866E-2</v>
          </cell>
          <cell r="H61">
            <v>6648309.8999999994</v>
          </cell>
          <cell r="I61">
            <v>180000</v>
          </cell>
          <cell r="J61">
            <v>0.13675213675213677</v>
          </cell>
        </row>
        <row r="62">
          <cell r="A62" t="str">
            <v>ETS</v>
          </cell>
          <cell r="C62" t="str">
            <v>ETS</v>
          </cell>
          <cell r="D62" t="str">
            <v>SDVOSB</v>
          </cell>
          <cell r="E62">
            <v>0.05</v>
          </cell>
          <cell r="F62">
            <v>3.5000000000000003E-2</v>
          </cell>
          <cell r="G62">
            <v>2.7910616316578062E-2</v>
          </cell>
          <cell r="H62">
            <v>2109567.25</v>
          </cell>
          <cell r="I62">
            <v>45900</v>
          </cell>
          <cell r="J62">
            <v>3.487179487179487E-2</v>
          </cell>
        </row>
        <row r="63">
          <cell r="A63" t="str">
            <v>ManPower</v>
          </cell>
          <cell r="C63" t="str">
            <v>ManPower</v>
          </cell>
          <cell r="D63" t="str">
            <v>Large</v>
          </cell>
          <cell r="E63">
            <v>0.05</v>
          </cell>
          <cell r="F63">
            <v>3.5000000000000003E-2</v>
          </cell>
          <cell r="G63">
            <v>5.6793480758581032E-2</v>
          </cell>
          <cell r="H63">
            <v>4292619.9000000004</v>
          </cell>
          <cell r="I63">
            <v>90000</v>
          </cell>
          <cell r="J63">
            <v>6.8376068376068383E-2</v>
          </cell>
        </row>
        <row r="64">
          <cell r="A64" t="str">
            <v>Consultants</v>
          </cell>
          <cell r="C64" t="str">
            <v>Consultants</v>
          </cell>
          <cell r="D64" t="str">
            <v>TBD</v>
          </cell>
          <cell r="E64">
            <v>0</v>
          </cell>
          <cell r="F64">
            <v>3.5000000000000003E-2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A65" t="str">
            <v>MT (IWA)</v>
          </cell>
          <cell r="C65" t="str">
            <v>MT (IWA)</v>
          </cell>
          <cell r="D65" t="str">
            <v>Large</v>
          </cell>
          <cell r="E65">
            <v>0</v>
          </cell>
          <cell r="F65">
            <v>2.9000000000000001E-2</v>
          </cell>
          <cell r="G65">
            <v>0</v>
          </cell>
          <cell r="H65">
            <v>0</v>
          </cell>
        </row>
        <row r="66">
          <cell r="G66">
            <v>0.39455946050860574</v>
          </cell>
          <cell r="H66">
            <v>29821975.502999999</v>
          </cell>
          <cell r="J66">
            <v>0.5274871794871796</v>
          </cell>
        </row>
        <row r="67">
          <cell r="B67" t="str">
            <v>Cat #</v>
          </cell>
          <cell r="C67" t="str">
            <v>RFP Category</v>
          </cell>
          <cell r="E67" t="str">
            <v>Hrs/Year</v>
          </cell>
          <cell r="H67">
            <v>41920340.342999995</v>
          </cell>
          <cell r="J67">
            <v>0.69692307692307698</v>
          </cell>
        </row>
        <row r="68">
          <cell r="B68">
            <v>1</v>
          </cell>
          <cell r="C68" t="str">
            <v>Program Manager</v>
          </cell>
          <cell r="E68">
            <v>2000</v>
          </cell>
          <cell r="H68" t="str">
            <v>ManTech</v>
          </cell>
          <cell r="I68">
            <v>117000</v>
          </cell>
        </row>
        <row r="69">
          <cell r="B69">
            <v>2</v>
          </cell>
          <cell r="C69" t="str">
            <v>Education Specialist</v>
          </cell>
          <cell r="E69">
            <v>3000</v>
          </cell>
          <cell r="H69" t="str">
            <v>IWA</v>
          </cell>
          <cell r="I69">
            <v>281925</v>
          </cell>
        </row>
        <row r="70">
          <cell r="B70">
            <v>3</v>
          </cell>
          <cell r="C70" t="str">
            <v>Instructional Systems Designer</v>
          </cell>
          <cell r="E70">
            <v>6000</v>
          </cell>
        </row>
        <row r="71">
          <cell r="B71">
            <v>4</v>
          </cell>
          <cell r="C71" t="str">
            <v>Master Training Specialist, Operator</v>
          </cell>
          <cell r="E71">
            <v>2000</v>
          </cell>
          <cell r="I71">
            <v>1316250</v>
          </cell>
        </row>
        <row r="72">
          <cell r="B72">
            <v>5</v>
          </cell>
          <cell r="C72" t="str">
            <v>Master Training Specialist, Maintenance</v>
          </cell>
          <cell r="E72">
            <v>2000</v>
          </cell>
        </row>
        <row r="73">
          <cell r="B73">
            <v>6</v>
          </cell>
          <cell r="C73" t="str">
            <v>Operator Training Specialist</v>
          </cell>
          <cell r="E73">
            <v>6000</v>
          </cell>
        </row>
        <row r="74">
          <cell r="B74">
            <v>7</v>
          </cell>
          <cell r="C74" t="str">
            <v>Maintenance Training Specialist</v>
          </cell>
          <cell r="E74">
            <v>6000</v>
          </cell>
        </row>
        <row r="75">
          <cell r="B75">
            <v>8</v>
          </cell>
          <cell r="C75" t="str">
            <v>Interactive Courseware Specialist</v>
          </cell>
          <cell r="E75">
            <v>6000</v>
          </cell>
        </row>
        <row r="76">
          <cell r="B76">
            <v>9</v>
          </cell>
          <cell r="C76" t="str">
            <v>Web Application Developer</v>
          </cell>
          <cell r="E76">
            <v>6000</v>
          </cell>
        </row>
        <row r="77">
          <cell r="B77">
            <v>10</v>
          </cell>
          <cell r="C77" t="str">
            <v>Database Analyst/Administrator</v>
          </cell>
          <cell r="E77">
            <v>6000</v>
          </cell>
        </row>
        <row r="78">
          <cell r="B78">
            <v>11</v>
          </cell>
          <cell r="C78" t="str">
            <v>Simulator Instructor</v>
          </cell>
          <cell r="E78">
            <v>8750</v>
          </cell>
        </row>
        <row r="79">
          <cell r="B79">
            <v>12</v>
          </cell>
          <cell r="C79" t="str">
            <v>Sr Logistics Analyst</v>
          </cell>
          <cell r="E79">
            <v>12000</v>
          </cell>
        </row>
        <row r="80">
          <cell r="B80">
            <v>13</v>
          </cell>
          <cell r="C80" t="str">
            <v>Logistics Analyst</v>
          </cell>
          <cell r="E80">
            <v>25000</v>
          </cell>
        </row>
        <row r="81">
          <cell r="B81">
            <v>14</v>
          </cell>
          <cell r="C81" t="str">
            <v>Junior Logistics Analyst</v>
          </cell>
          <cell r="E81">
            <v>14000</v>
          </cell>
        </row>
        <row r="82">
          <cell r="B82">
            <v>15</v>
          </cell>
          <cell r="C82" t="str">
            <v>Sr Systems Analyst</v>
          </cell>
          <cell r="E82">
            <v>1700</v>
          </cell>
        </row>
        <row r="83">
          <cell r="B83">
            <v>16</v>
          </cell>
          <cell r="C83" t="str">
            <v>Systems Analyst</v>
          </cell>
          <cell r="E83">
            <v>4500</v>
          </cell>
        </row>
        <row r="84">
          <cell r="B84">
            <v>17</v>
          </cell>
          <cell r="C84" t="str">
            <v>Sr Editor</v>
          </cell>
          <cell r="E84">
            <v>3000</v>
          </cell>
        </row>
        <row r="85">
          <cell r="B85">
            <v>18</v>
          </cell>
          <cell r="C85" t="str">
            <v>Editor</v>
          </cell>
          <cell r="E85">
            <v>3000</v>
          </cell>
        </row>
        <row r="86">
          <cell r="B86">
            <v>19</v>
          </cell>
          <cell r="C86" t="str">
            <v>Graphic Specialist</v>
          </cell>
          <cell r="E86">
            <v>20000</v>
          </cell>
        </row>
        <row r="87">
          <cell r="B87">
            <v>20</v>
          </cell>
          <cell r="C87" t="str">
            <v>Technical Writer/Illustrator</v>
          </cell>
          <cell r="E87">
            <v>2000</v>
          </cell>
        </row>
        <row r="88">
          <cell r="B88">
            <v>21</v>
          </cell>
          <cell r="C88" t="str">
            <v>Document Management Specialist</v>
          </cell>
          <cell r="E88">
            <v>6000</v>
          </cell>
        </row>
        <row r="89">
          <cell r="B89">
            <v>22</v>
          </cell>
          <cell r="C89" t="str">
            <v>Administrative Assistant</v>
          </cell>
          <cell r="E89">
            <v>650</v>
          </cell>
        </row>
        <row r="90">
          <cell r="B90">
            <v>23</v>
          </cell>
          <cell r="C90" t="str">
            <v>Clerk Typist</v>
          </cell>
          <cell r="E90">
            <v>650</v>
          </cell>
        </row>
        <row r="91">
          <cell r="B91">
            <v>24</v>
          </cell>
        </row>
        <row r="92">
          <cell r="B92">
            <v>25</v>
          </cell>
        </row>
        <row r="93">
          <cell r="B93">
            <v>26</v>
          </cell>
          <cell r="C93" t="str">
            <v>Category - 26</v>
          </cell>
        </row>
        <row r="94">
          <cell r="B94">
            <v>27</v>
          </cell>
          <cell r="C94" t="str">
            <v>Category - 27</v>
          </cell>
        </row>
        <row r="95">
          <cell r="B95">
            <v>28</v>
          </cell>
          <cell r="C95" t="str">
            <v>Category - 28</v>
          </cell>
        </row>
        <row r="96">
          <cell r="B96">
            <v>29</v>
          </cell>
          <cell r="C96" t="str">
            <v>Category - 29</v>
          </cell>
        </row>
        <row r="97">
          <cell r="B97">
            <v>30</v>
          </cell>
          <cell r="C97" t="str">
            <v>Category - 30</v>
          </cell>
        </row>
        <row r="98">
          <cell r="B98">
            <v>31</v>
          </cell>
          <cell r="C98" t="str">
            <v>Category - 31</v>
          </cell>
        </row>
        <row r="99">
          <cell r="B99">
            <v>32</v>
          </cell>
          <cell r="C99" t="str">
            <v>Category - 32</v>
          </cell>
        </row>
        <row r="100">
          <cell r="B100">
            <v>33</v>
          </cell>
          <cell r="C100" t="str">
            <v>Category - 33</v>
          </cell>
        </row>
        <row r="101">
          <cell r="B101">
            <v>34</v>
          </cell>
          <cell r="C101" t="str">
            <v>Category - 34</v>
          </cell>
        </row>
        <row r="102">
          <cell r="B102">
            <v>35</v>
          </cell>
          <cell r="C102" t="str">
            <v>Category - 35</v>
          </cell>
        </row>
        <row r="104">
          <cell r="B104" t="str">
            <v>Key</v>
          </cell>
          <cell r="C104" t="str">
            <v>Name</v>
          </cell>
          <cell r="D104" t="str">
            <v>Rate</v>
          </cell>
          <cell r="E104" t="str">
            <v>Category</v>
          </cell>
        </row>
        <row r="105">
          <cell r="B105" t="str">
            <v>Personnel</v>
          </cell>
        </row>
        <row r="106">
          <cell r="B106">
            <v>1</v>
          </cell>
          <cell r="C106" t="str">
            <v>Renfro, R</v>
          </cell>
          <cell r="D106">
            <v>54.33</v>
          </cell>
          <cell r="E106" t="str">
            <v>D6-5</v>
          </cell>
          <cell r="F106" t="str">
            <v>MADG</v>
          </cell>
        </row>
        <row r="107">
          <cell r="B107">
            <v>2</v>
          </cell>
          <cell r="C107" t="str">
            <v>Lausch</v>
          </cell>
          <cell r="F107" t="str">
            <v>New Hire</v>
          </cell>
        </row>
        <row r="108">
          <cell r="B108">
            <v>3</v>
          </cell>
          <cell r="C108" t="str">
            <v>Severe, J</v>
          </cell>
          <cell r="D108">
            <v>19.010000000000002</v>
          </cell>
          <cell r="E108" t="str">
            <v>T2-5</v>
          </cell>
          <cell r="F108" t="str">
            <v>MADG</v>
          </cell>
        </row>
        <row r="109">
          <cell r="B109">
            <v>4</v>
          </cell>
          <cell r="C109" t="str">
            <v>Glithero, S</v>
          </cell>
          <cell r="D109">
            <v>26.53</v>
          </cell>
          <cell r="E109" t="str">
            <v>A4-1</v>
          </cell>
          <cell r="F109" t="str">
            <v>MADG</v>
          </cell>
        </row>
        <row r="110">
          <cell r="B110">
            <v>5</v>
          </cell>
          <cell r="C110" t="str">
            <v>Tibbetts, W</v>
          </cell>
          <cell r="D110">
            <v>24.89</v>
          </cell>
          <cell r="E110" t="str">
            <v>A3-2</v>
          </cell>
          <cell r="F110" t="str">
            <v>MADG</v>
          </cell>
        </row>
        <row r="111">
          <cell r="B111">
            <v>6</v>
          </cell>
          <cell r="C111" t="str">
            <v>Bryan, S</v>
          </cell>
          <cell r="D111">
            <v>22.11</v>
          </cell>
          <cell r="E111" t="str">
            <v>D1-1</v>
          </cell>
          <cell r="F111" t="str">
            <v>MADG</v>
          </cell>
        </row>
        <row r="112">
          <cell r="B112">
            <v>7</v>
          </cell>
          <cell r="C112" t="str">
            <v>Koenig, J R</v>
          </cell>
          <cell r="D112">
            <v>29.26</v>
          </cell>
          <cell r="E112" t="str">
            <v>A3-4</v>
          </cell>
          <cell r="F112" t="str">
            <v>MSTC</v>
          </cell>
        </row>
        <row r="113">
          <cell r="B113">
            <v>8</v>
          </cell>
          <cell r="C113" t="str">
            <v>Hultman</v>
          </cell>
          <cell r="F113" t="str">
            <v>New Hire</v>
          </cell>
        </row>
        <row r="114">
          <cell r="B114">
            <v>9</v>
          </cell>
          <cell r="C114" t="str">
            <v>Smith, N</v>
          </cell>
          <cell r="D114">
            <v>20</v>
          </cell>
          <cell r="E114" t="str">
            <v>A2-3</v>
          </cell>
          <cell r="F114" t="str">
            <v>MADG</v>
          </cell>
        </row>
        <row r="115">
          <cell r="B115">
            <v>10</v>
          </cell>
          <cell r="C115" t="str">
            <v>Gehres</v>
          </cell>
          <cell r="D115">
            <v>33.659999999999997</v>
          </cell>
          <cell r="E115" t="str">
            <v>E3-4</v>
          </cell>
          <cell r="F115" t="str">
            <v>MSTC</v>
          </cell>
        </row>
        <row r="116">
          <cell r="B116">
            <v>11</v>
          </cell>
          <cell r="C116" t="str">
            <v>Crites</v>
          </cell>
          <cell r="F116" t="str">
            <v>New Hire</v>
          </cell>
        </row>
        <row r="117">
          <cell r="B117">
            <v>12</v>
          </cell>
          <cell r="C117" t="str">
            <v>Sturges, C</v>
          </cell>
          <cell r="D117">
            <v>37.26</v>
          </cell>
          <cell r="F117" t="str">
            <v>New Hire</v>
          </cell>
        </row>
        <row r="118">
          <cell r="B118">
            <v>13</v>
          </cell>
          <cell r="C118" t="str">
            <v>Dimitriu, Paul</v>
          </cell>
          <cell r="D118">
            <v>30.8</v>
          </cell>
          <cell r="F118" t="str">
            <v>Temp</v>
          </cell>
          <cell r="G118" t="str">
            <v>(Manpower Professional Services)</v>
          </cell>
        </row>
        <row r="119">
          <cell r="B119">
            <v>14</v>
          </cell>
          <cell r="C119" t="str">
            <v>Worth, Greg</v>
          </cell>
          <cell r="D119">
            <v>46.2</v>
          </cell>
          <cell r="F119" t="str">
            <v>Temp</v>
          </cell>
          <cell r="G119" t="str">
            <v>(Manpower Professional Services)</v>
          </cell>
        </row>
        <row r="120">
          <cell r="B120">
            <v>15</v>
          </cell>
          <cell r="C120" t="str">
            <v>Collins, Doug</v>
          </cell>
          <cell r="D120">
            <v>25</v>
          </cell>
          <cell r="F120" t="str">
            <v>New Hire</v>
          </cell>
        </row>
        <row r="121">
          <cell r="B121">
            <v>16</v>
          </cell>
          <cell r="C121" t="str">
            <v>Cain, John</v>
          </cell>
          <cell r="D121">
            <v>42</v>
          </cell>
          <cell r="F121" t="str">
            <v>Temp</v>
          </cell>
          <cell r="G121" t="str">
            <v>(Manpower Professional Services)</v>
          </cell>
        </row>
        <row r="122">
          <cell r="B122">
            <v>17</v>
          </cell>
          <cell r="C122" t="str">
            <v>Maxwell, Walter</v>
          </cell>
          <cell r="D122">
            <v>42</v>
          </cell>
          <cell r="F122" t="str">
            <v>Temp</v>
          </cell>
          <cell r="G122" t="str">
            <v>(Manpower Professional Services)</v>
          </cell>
        </row>
        <row r="123">
          <cell r="B123">
            <v>18</v>
          </cell>
          <cell r="C123" t="str">
            <v>Torres, Desi</v>
          </cell>
          <cell r="D123">
            <v>42</v>
          </cell>
          <cell r="F123" t="str">
            <v>Temp</v>
          </cell>
          <cell r="G123" t="str">
            <v>(Manpower Professional Services)</v>
          </cell>
        </row>
        <row r="124">
          <cell r="B124">
            <v>19</v>
          </cell>
          <cell r="C124" t="str">
            <v>Franklin, Hubert</v>
          </cell>
          <cell r="D124">
            <v>17.5</v>
          </cell>
          <cell r="E124" t="str">
            <v>A2-1</v>
          </cell>
          <cell r="F124" t="str">
            <v>MADG</v>
          </cell>
        </row>
        <row r="125">
          <cell r="B125">
            <v>20</v>
          </cell>
          <cell r="C125" t="str">
            <v>Name - 20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workbookViewId="0">
      <selection activeCell="H34" sqref="H34"/>
    </sheetView>
  </sheetViews>
  <sheetFormatPr defaultColWidth="8.85546875" defaultRowHeight="12.75"/>
  <cols>
    <col min="1" max="1" width="23.42578125" style="4" bestFit="1" customWidth="1"/>
    <col min="2" max="2" width="14.7109375" style="14" customWidth="1"/>
    <col min="3" max="3" width="17.85546875" style="14" customWidth="1"/>
    <col min="4" max="4" width="18.7109375" style="14" customWidth="1"/>
    <col min="5" max="16384" width="8.85546875" style="4"/>
  </cols>
  <sheetData>
    <row r="1" spans="1:7" ht="16.5" thickBot="1">
      <c r="A1" s="1" t="s">
        <v>0</v>
      </c>
      <c r="B1" s="2">
        <f>AVERAGE(B$4:B70)</f>
        <v>270.13626865671642</v>
      </c>
      <c r="C1" s="3">
        <f>AVERAGE(C$4:C68)</f>
        <v>346.20119999999997</v>
      </c>
      <c r="D1" s="3">
        <f>AVERAGE(D$4:D70)</f>
        <v>140.13092307692307</v>
      </c>
    </row>
    <row r="2" spans="1:7">
      <c r="A2" s="5"/>
      <c r="B2" s="6"/>
      <c r="C2" s="6"/>
      <c r="D2" s="6"/>
    </row>
    <row r="3" spans="1:7">
      <c r="A3" s="7" t="s">
        <v>1</v>
      </c>
      <c r="B3" s="8" t="s">
        <v>2</v>
      </c>
      <c r="C3" s="8" t="s">
        <v>3</v>
      </c>
      <c r="D3" s="8" t="s">
        <v>4</v>
      </c>
      <c r="G3" s="8"/>
    </row>
    <row r="4" spans="1:7">
      <c r="A4" s="9"/>
      <c r="B4" s="10">
        <f>AVERAGE(B5:B16)</f>
        <v>60.949999999999996</v>
      </c>
      <c r="C4" s="11"/>
      <c r="D4" s="11"/>
    </row>
    <row r="5" spans="1:7">
      <c r="A5" s="9">
        <v>40219</v>
      </c>
      <c r="B5" s="11">
        <v>46.51</v>
      </c>
      <c r="C5" s="11">
        <v>45.07</v>
      </c>
      <c r="D5" s="11">
        <v>52.77</v>
      </c>
    </row>
    <row r="6" spans="1:7">
      <c r="A6" s="9">
        <v>40188</v>
      </c>
      <c r="B6" s="11">
        <v>46.51</v>
      </c>
      <c r="C6" s="11">
        <v>45.5</v>
      </c>
      <c r="D6" s="11">
        <v>52.34</v>
      </c>
    </row>
    <row r="7" spans="1:7">
      <c r="A7" s="9">
        <v>40148</v>
      </c>
      <c r="B7" s="11">
        <v>54.73</v>
      </c>
      <c r="C7" s="11">
        <v>234.57</v>
      </c>
      <c r="D7" s="11">
        <v>119.33</v>
      </c>
    </row>
    <row r="8" spans="1:7">
      <c r="A8" s="9">
        <v>40118</v>
      </c>
      <c r="B8" s="11">
        <v>56.25</v>
      </c>
      <c r="C8" s="11">
        <v>226.34</v>
      </c>
      <c r="D8" s="11">
        <v>102.63</v>
      </c>
    </row>
    <row r="9" spans="1:7">
      <c r="A9" s="9">
        <v>40095</v>
      </c>
      <c r="B9" s="11">
        <v>59.79</v>
      </c>
      <c r="C9" s="11">
        <v>263.3</v>
      </c>
      <c r="D9" s="11">
        <v>186.59</v>
      </c>
    </row>
    <row r="10" spans="1:7">
      <c r="A10" s="9">
        <v>40065</v>
      </c>
      <c r="B10" s="11">
        <v>61.55</v>
      </c>
      <c r="C10" s="11">
        <v>268.77999999999997</v>
      </c>
      <c r="D10" s="11">
        <v>172.48</v>
      </c>
    </row>
    <row r="11" spans="1:7">
      <c r="A11" s="9">
        <v>40034</v>
      </c>
      <c r="B11" s="11">
        <v>75.040000000000006</v>
      </c>
      <c r="C11" s="11">
        <v>317.20999999999998</v>
      </c>
      <c r="D11" s="11">
        <v>196.94</v>
      </c>
    </row>
    <row r="12" spans="1:7">
      <c r="A12" s="9">
        <v>40003</v>
      </c>
      <c r="B12" s="11">
        <v>62.97</v>
      </c>
      <c r="C12" s="11">
        <v>241.72</v>
      </c>
      <c r="D12" s="11">
        <v>156.22999999999999</v>
      </c>
    </row>
    <row r="13" spans="1:7">
      <c r="A13" s="9">
        <v>39973</v>
      </c>
      <c r="B13" s="11">
        <v>64.98</v>
      </c>
      <c r="C13" s="11">
        <v>267.44</v>
      </c>
      <c r="D13" s="11">
        <v>141.82</v>
      </c>
    </row>
    <row r="14" spans="1:7">
      <c r="A14" s="9">
        <v>39942</v>
      </c>
      <c r="B14" s="11">
        <v>65.44</v>
      </c>
      <c r="C14" s="11">
        <v>285.67</v>
      </c>
      <c r="D14" s="11">
        <v>151.49</v>
      </c>
    </row>
    <row r="15" spans="1:7">
      <c r="A15" s="9">
        <v>39912</v>
      </c>
      <c r="B15" s="11">
        <v>67.48</v>
      </c>
      <c r="C15" s="11">
        <v>739.38</v>
      </c>
      <c r="D15" s="11">
        <v>145.96</v>
      </c>
    </row>
    <row r="16" spans="1:7">
      <c r="A16" s="9">
        <v>39881</v>
      </c>
      <c r="B16" s="11">
        <v>70.150000000000006</v>
      </c>
      <c r="C16" s="11">
        <v>246.46</v>
      </c>
      <c r="D16" s="11">
        <v>147.04</v>
      </c>
    </row>
    <row r="17" spans="1:4">
      <c r="A17" s="9">
        <v>39853</v>
      </c>
      <c r="B17" s="11">
        <v>69.61</v>
      </c>
      <c r="C17" s="11">
        <v>241.72</v>
      </c>
      <c r="D17" s="11">
        <v>93.01</v>
      </c>
    </row>
    <row r="18" spans="1:4">
      <c r="A18" s="9">
        <v>39822</v>
      </c>
      <c r="B18" s="11">
        <v>70.959999999999994</v>
      </c>
      <c r="C18" s="11">
        <v>220.52</v>
      </c>
      <c r="D18" s="11">
        <v>90.08</v>
      </c>
    </row>
    <row r="19" spans="1:4">
      <c r="A19" s="9">
        <v>40155</v>
      </c>
      <c r="B19" s="11">
        <v>61.1</v>
      </c>
      <c r="C19" s="11">
        <v>233.33</v>
      </c>
      <c r="D19" s="11">
        <v>82.49</v>
      </c>
    </row>
    <row r="20" spans="1:4">
      <c r="A20" s="9">
        <v>39760</v>
      </c>
      <c r="B20" s="11">
        <v>63.74</v>
      </c>
      <c r="C20" s="11">
        <v>244.44</v>
      </c>
      <c r="D20" s="11">
        <v>84.19</v>
      </c>
    </row>
    <row r="21" spans="1:4">
      <c r="A21" s="9">
        <v>39729</v>
      </c>
      <c r="B21" s="11">
        <v>69.180000000000007</v>
      </c>
      <c r="C21" s="11">
        <v>233.33</v>
      </c>
      <c r="D21" s="11">
        <v>80.069999999999993</v>
      </c>
    </row>
    <row r="22" spans="1:4">
      <c r="A22" s="9">
        <v>39699</v>
      </c>
      <c r="B22" s="11">
        <v>72.87</v>
      </c>
      <c r="C22" s="11">
        <v>233.33</v>
      </c>
      <c r="D22" s="11">
        <v>70.400000000000006</v>
      </c>
    </row>
    <row r="23" spans="1:4">
      <c r="A23" s="9">
        <v>39668</v>
      </c>
      <c r="B23" s="11">
        <v>73.400000000000006</v>
      </c>
      <c r="C23" s="11">
        <v>233.33</v>
      </c>
      <c r="D23" s="11">
        <v>81.67</v>
      </c>
    </row>
    <row r="24" spans="1:4">
      <c r="A24" s="9">
        <v>39637</v>
      </c>
      <c r="B24" s="11">
        <v>78.66</v>
      </c>
      <c r="C24" s="11">
        <v>233.33</v>
      </c>
      <c r="D24" s="11">
        <v>85.51</v>
      </c>
    </row>
    <row r="25" spans="1:4">
      <c r="A25" s="9">
        <v>39607</v>
      </c>
      <c r="B25" s="11">
        <v>76.650000000000006</v>
      </c>
      <c r="C25" s="11">
        <v>238.76</v>
      </c>
      <c r="D25" s="11">
        <v>87.34</v>
      </c>
    </row>
    <row r="26" spans="1:4">
      <c r="A26" s="9">
        <v>39576</v>
      </c>
      <c r="B26" s="11">
        <v>79.489999999999995</v>
      </c>
      <c r="C26" s="11">
        <v>238.76</v>
      </c>
      <c r="D26" s="11">
        <v>80.86</v>
      </c>
    </row>
    <row r="27" spans="1:4">
      <c r="A27" s="9">
        <v>39546</v>
      </c>
      <c r="B27" s="11">
        <v>84.73</v>
      </c>
      <c r="C27" s="11">
        <v>244.44</v>
      </c>
      <c r="D27" s="11">
        <v>81.67</v>
      </c>
    </row>
    <row r="28" spans="1:4">
      <c r="A28" s="9">
        <v>39515</v>
      </c>
      <c r="B28" s="11">
        <v>89.89</v>
      </c>
      <c r="C28" s="11">
        <v>244.44</v>
      </c>
      <c r="D28" s="11">
        <v>85.96</v>
      </c>
    </row>
    <row r="29" spans="1:4">
      <c r="A29" s="9">
        <v>39486</v>
      </c>
      <c r="B29" s="11">
        <v>86.48</v>
      </c>
      <c r="C29" s="11">
        <v>211.85</v>
      </c>
      <c r="D29" s="11">
        <v>88.69</v>
      </c>
    </row>
    <row r="30" spans="1:4">
      <c r="A30" s="9">
        <v>39455</v>
      </c>
      <c r="B30" s="11">
        <v>105.81</v>
      </c>
      <c r="C30" s="11">
        <v>261.89999999999998</v>
      </c>
      <c r="D30" s="11">
        <v>93.58</v>
      </c>
    </row>
    <row r="31" spans="1:4">
      <c r="A31" s="9">
        <v>39423</v>
      </c>
      <c r="B31" s="11">
        <v>101.79</v>
      </c>
      <c r="C31" s="11">
        <v>261.89999999999998</v>
      </c>
      <c r="D31" s="11">
        <v>101.16</v>
      </c>
    </row>
    <row r="32" spans="1:4">
      <c r="A32" s="9">
        <v>39393</v>
      </c>
      <c r="B32" s="11">
        <v>110.54</v>
      </c>
      <c r="C32" s="11">
        <v>250</v>
      </c>
      <c r="D32" s="11">
        <v>93.58</v>
      </c>
    </row>
    <row r="33" spans="1:5">
      <c r="A33" s="9">
        <v>39356</v>
      </c>
      <c r="B33" s="11">
        <v>118.11</v>
      </c>
      <c r="C33" s="11">
        <v>261.89999999999998</v>
      </c>
      <c r="D33" s="11">
        <v>99.43</v>
      </c>
    </row>
    <row r="34" spans="1:5">
      <c r="A34" s="9">
        <v>39332</v>
      </c>
      <c r="B34" s="11">
        <v>131.11000000000001</v>
      </c>
      <c r="C34" s="11">
        <v>323.52999999999997</v>
      </c>
      <c r="D34" s="11">
        <v>98.87</v>
      </c>
    </row>
    <row r="35" spans="1:5">
      <c r="A35" s="9">
        <v>39301</v>
      </c>
      <c r="B35" s="11">
        <v>141.91</v>
      </c>
      <c r="C35" s="11">
        <v>323.52999999999997</v>
      </c>
      <c r="D35" s="11">
        <v>103.55</v>
      </c>
    </row>
    <row r="36" spans="1:5">
      <c r="A36" s="9">
        <v>39270</v>
      </c>
      <c r="B36" s="11">
        <v>142.33000000000001</v>
      </c>
      <c r="C36" s="11">
        <v>289.47000000000003</v>
      </c>
      <c r="D36" s="11">
        <v>94.59</v>
      </c>
    </row>
    <row r="37" spans="1:5">
      <c r="A37" s="9">
        <v>39240</v>
      </c>
      <c r="B37" s="11">
        <v>155.9</v>
      </c>
      <c r="C37" s="11">
        <v>255.81</v>
      </c>
      <c r="D37" s="11">
        <v>95.11</v>
      </c>
    </row>
    <row r="38" spans="1:5">
      <c r="A38" s="9">
        <v>39209</v>
      </c>
      <c r="B38" s="11">
        <v>161.1</v>
      </c>
      <c r="C38" s="11">
        <v>239.13</v>
      </c>
      <c r="D38" s="11">
        <v>82.55</v>
      </c>
    </row>
    <row r="39" spans="1:5">
      <c r="A39" s="9" t="s">
        <v>5</v>
      </c>
      <c r="B39" s="11">
        <v>163.84</v>
      </c>
      <c r="C39" s="11">
        <v>239.13</v>
      </c>
      <c r="D39" s="11">
        <v>92.59</v>
      </c>
    </row>
    <row r="40" spans="1:5">
      <c r="A40" s="9" t="s">
        <v>6</v>
      </c>
      <c r="B40" s="11">
        <v>164.14</v>
      </c>
      <c r="C40" s="11">
        <v>268.91000000000003</v>
      </c>
      <c r="D40" s="11">
        <v>96.82</v>
      </c>
    </row>
    <row r="41" spans="1:5">
      <c r="A41" s="9">
        <v>39114</v>
      </c>
      <c r="B41" s="11">
        <v>182.77</v>
      </c>
      <c r="C41" s="11">
        <v>268.29000000000002</v>
      </c>
      <c r="D41" s="11">
        <v>98.31</v>
      </c>
    </row>
    <row r="42" spans="1:5">
      <c r="A42" s="9">
        <v>39083</v>
      </c>
      <c r="B42" s="11">
        <v>174.82</v>
      </c>
      <c r="C42" s="11">
        <v>239.13</v>
      </c>
      <c r="D42" s="11">
        <v>112.18</v>
      </c>
      <c r="E42" s="12" t="s">
        <v>7</v>
      </c>
    </row>
    <row r="43" spans="1:5">
      <c r="A43" s="9">
        <v>39057</v>
      </c>
      <c r="B43" s="11">
        <v>603.61</v>
      </c>
      <c r="C43" s="11">
        <v>643.17999999999995</v>
      </c>
      <c r="D43" s="11">
        <v>297.91000000000003</v>
      </c>
    </row>
    <row r="44" spans="1:5">
      <c r="A44" s="9">
        <v>39027</v>
      </c>
      <c r="B44" s="11">
        <v>489.84</v>
      </c>
      <c r="C44" s="11">
        <v>583.86</v>
      </c>
      <c r="D44" s="11">
        <v>206.42</v>
      </c>
    </row>
    <row r="45" spans="1:5">
      <c r="A45" s="9">
        <v>38996</v>
      </c>
      <c r="B45" s="11">
        <v>492.45</v>
      </c>
      <c r="C45" s="11">
        <v>619.91999999999996</v>
      </c>
      <c r="D45" s="11">
        <v>220.23</v>
      </c>
    </row>
    <row r="46" spans="1:5">
      <c r="A46" s="9">
        <v>38966</v>
      </c>
      <c r="B46" s="11">
        <v>419.99</v>
      </c>
      <c r="C46" s="11">
        <v>596.84</v>
      </c>
      <c r="D46" s="11">
        <v>221.39</v>
      </c>
    </row>
    <row r="47" spans="1:5">
      <c r="A47" s="9">
        <v>38935</v>
      </c>
      <c r="B47" s="11">
        <v>419.24</v>
      </c>
      <c r="C47" s="11">
        <v>610.4</v>
      </c>
      <c r="D47" s="11">
        <v>242.77</v>
      </c>
    </row>
    <row r="48" spans="1:5">
      <c r="A48" s="9">
        <v>38904</v>
      </c>
      <c r="B48" s="11">
        <v>376.38</v>
      </c>
      <c r="C48" s="11">
        <v>639.47</v>
      </c>
      <c r="D48" s="11">
        <v>226.07</v>
      </c>
    </row>
    <row r="49" spans="1:4">
      <c r="A49" s="9">
        <v>38874</v>
      </c>
      <c r="B49" s="11">
        <v>411.19</v>
      </c>
      <c r="C49" s="11">
        <v>639.47</v>
      </c>
      <c r="D49" s="11">
        <v>223.71</v>
      </c>
    </row>
    <row r="50" spans="1:4">
      <c r="A50" s="9">
        <v>38843</v>
      </c>
      <c r="B50" s="11">
        <v>409.05</v>
      </c>
      <c r="C50" s="11">
        <v>706.78</v>
      </c>
      <c r="D50" s="11">
        <v>226.07</v>
      </c>
    </row>
    <row r="51" spans="1:4">
      <c r="A51" s="9">
        <v>38813</v>
      </c>
      <c r="B51" s="11">
        <v>404.84</v>
      </c>
      <c r="C51" s="11">
        <v>706.78</v>
      </c>
      <c r="D51" s="11">
        <v>230.96</v>
      </c>
    </row>
    <row r="52" spans="1:4">
      <c r="A52" s="9">
        <v>38782</v>
      </c>
      <c r="B52" s="11">
        <v>320.56</v>
      </c>
      <c r="C52" s="11">
        <v>671.44</v>
      </c>
      <c r="D52" s="11">
        <v>226.07</v>
      </c>
    </row>
    <row r="53" spans="1:4">
      <c r="A53" s="9">
        <v>38754</v>
      </c>
      <c r="B53" s="11">
        <v>473.12</v>
      </c>
      <c r="C53" s="11">
        <v>639.47</v>
      </c>
      <c r="D53" s="11">
        <v>218</v>
      </c>
    </row>
    <row r="54" spans="1:4">
      <c r="A54" s="9">
        <v>38723</v>
      </c>
      <c r="B54" s="11">
        <v>397.4</v>
      </c>
      <c r="C54" s="11">
        <v>536.79999999999995</v>
      </c>
      <c r="D54" s="11">
        <v>165.02</v>
      </c>
    </row>
    <row r="55" spans="1:4">
      <c r="A55" s="9">
        <v>38691</v>
      </c>
      <c r="B55" s="11">
        <v>373.01</v>
      </c>
      <c r="C55" s="11"/>
      <c r="D55" s="11">
        <v>195.2</v>
      </c>
    </row>
    <row r="56" spans="1:4">
      <c r="A56" s="9">
        <v>38661</v>
      </c>
      <c r="B56" s="11">
        <v>373.01</v>
      </c>
      <c r="C56" s="11"/>
      <c r="D56" s="11">
        <v>181.7</v>
      </c>
    </row>
    <row r="57" spans="1:4">
      <c r="A57" s="9">
        <v>38626</v>
      </c>
      <c r="B57" s="11">
        <v>401.64</v>
      </c>
      <c r="C57" s="11"/>
      <c r="D57" s="11">
        <v>145.36000000000001</v>
      </c>
    </row>
    <row r="58" spans="1:4">
      <c r="A58" s="9">
        <v>38596</v>
      </c>
      <c r="B58" s="11">
        <v>394.08</v>
      </c>
      <c r="C58" s="11"/>
      <c r="D58" s="11">
        <v>133.44</v>
      </c>
    </row>
    <row r="59" spans="1:4">
      <c r="A59" s="9">
        <v>38569</v>
      </c>
      <c r="B59" s="11">
        <v>440.32</v>
      </c>
      <c r="C59" s="11"/>
      <c r="D59" s="11">
        <v>148</v>
      </c>
    </row>
    <row r="60" spans="1:4">
      <c r="A60" s="9">
        <v>38538</v>
      </c>
      <c r="B60" s="11">
        <v>459.43</v>
      </c>
      <c r="C60" s="11"/>
      <c r="D60" s="11">
        <v>156.69999999999999</v>
      </c>
    </row>
    <row r="61" spans="1:4">
      <c r="A61" s="9">
        <v>38508</v>
      </c>
      <c r="B61" s="11">
        <v>494.4</v>
      </c>
      <c r="C61" s="11"/>
      <c r="D61" s="11" t="s">
        <v>8</v>
      </c>
    </row>
    <row r="62" spans="1:4">
      <c r="A62" s="9">
        <v>38477</v>
      </c>
      <c r="B62" s="11">
        <v>488</v>
      </c>
      <c r="C62" s="11"/>
      <c r="D62" s="11">
        <v>142.93</v>
      </c>
    </row>
    <row r="63" spans="1:4">
      <c r="A63" s="9" t="s">
        <v>9</v>
      </c>
      <c r="B63" s="11">
        <v>531.72</v>
      </c>
      <c r="C63" s="11"/>
      <c r="D63" s="11">
        <v>151.15</v>
      </c>
    </row>
    <row r="64" spans="1:4">
      <c r="A64" s="9" t="s">
        <v>10</v>
      </c>
      <c r="B64" s="11">
        <v>549.17999999999995</v>
      </c>
      <c r="C64" s="11"/>
      <c r="D64" s="11">
        <v>155.97999999999999</v>
      </c>
    </row>
    <row r="65" spans="1:4">
      <c r="A65" s="9">
        <v>38388</v>
      </c>
      <c r="B65" s="11">
        <v>634.24</v>
      </c>
      <c r="C65" s="11"/>
      <c r="D65" s="11">
        <v>195.2</v>
      </c>
    </row>
    <row r="66" spans="1:4">
      <c r="A66" s="9">
        <v>38357</v>
      </c>
      <c r="B66" s="11">
        <v>722.29</v>
      </c>
      <c r="C66" s="11"/>
      <c r="D66" s="11">
        <v>165.02</v>
      </c>
    </row>
    <row r="67" spans="1:4">
      <c r="A67" s="9">
        <v>38325</v>
      </c>
      <c r="B67" s="11">
        <v>718.96</v>
      </c>
      <c r="C67" s="11"/>
      <c r="D67" s="11">
        <v>166.63</v>
      </c>
    </row>
    <row r="68" spans="1:4">
      <c r="A68" s="9">
        <v>38234</v>
      </c>
      <c r="B68" s="11">
        <v>970.97</v>
      </c>
      <c r="C68" s="11"/>
      <c r="D68" s="11">
        <v>156.69999999999999</v>
      </c>
    </row>
    <row r="69" spans="1:4">
      <c r="A69" s="9">
        <v>38264</v>
      </c>
      <c r="B69" s="11">
        <v>884.36</v>
      </c>
      <c r="C69" s="11"/>
      <c r="D69" s="11">
        <v>157.47</v>
      </c>
    </row>
    <row r="70" spans="1:4">
      <c r="A70" s="9">
        <v>38295</v>
      </c>
      <c r="B70" s="11">
        <v>822.57</v>
      </c>
      <c r="C70" s="11"/>
      <c r="D70" s="11">
        <v>172.53</v>
      </c>
    </row>
    <row r="73" spans="1:4">
      <c r="A73" s="12" t="s">
        <v>11</v>
      </c>
      <c r="B73" s="13"/>
      <c r="C73" s="13"/>
      <c r="D73" s="13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Header>&amp;CMANTECH WAR INSURANCE RATES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  <pageSetUpPr fitToPage="1"/>
  </sheetPr>
  <dimension ref="A1:AQ123"/>
  <sheetViews>
    <sheetView showGridLines="0" topLeftCell="A132" zoomScale="85" zoomScaleNormal="70" zoomScaleSheetLayoutView="85" workbookViewId="0">
      <selection activeCell="B58" sqref="B58:X71"/>
    </sheetView>
  </sheetViews>
  <sheetFormatPr defaultRowHeight="12.75" outlineLevelRow="1" outlineLevelCol="2"/>
  <cols>
    <col min="1" max="1" width="3.85546875" style="15" customWidth="1"/>
    <col min="2" max="2" width="17.7109375" style="23" customWidth="1"/>
    <col min="3" max="4" width="10.5703125" style="23" customWidth="1"/>
    <col min="5" max="5" width="3" style="23" customWidth="1"/>
    <col min="6" max="6" width="22.28515625" style="23" customWidth="1"/>
    <col min="7" max="7" width="16.5703125" style="23" hidden="1" customWidth="1" outlineLevel="1"/>
    <col min="8" max="8" width="20.42578125" style="23" hidden="1" customWidth="1" outlineLevel="1"/>
    <col min="9" max="9" width="14" style="23" customWidth="1" collapsed="1"/>
    <col min="10" max="10" width="16.28515625" style="23" customWidth="1"/>
    <col min="11" max="12" width="12" style="23" customWidth="1"/>
    <col min="13" max="13" width="12" style="23" hidden="1" customWidth="1"/>
    <col min="14" max="14" width="10.85546875" style="23" hidden="1" customWidth="1"/>
    <col min="15" max="17" width="13.42578125" style="23" hidden="1" customWidth="1"/>
    <col min="18" max="18" width="11.140625" style="23" hidden="1" customWidth="1" outlineLevel="1"/>
    <col min="19" max="19" width="9.85546875" style="23" hidden="1" customWidth="1" outlineLevel="1"/>
    <col min="20" max="20" width="10.5703125" style="23" hidden="1" customWidth="1"/>
    <col min="21" max="21" width="10.28515625" style="23" customWidth="1"/>
    <col min="22" max="22" width="11.140625" style="23" customWidth="1"/>
    <col min="23" max="23" width="13.42578125" style="23" customWidth="1"/>
    <col min="24" max="24" width="10.42578125" style="23" customWidth="1"/>
    <col min="25" max="25" width="13.28515625" style="23" customWidth="1"/>
    <col min="26" max="26" width="8.7109375" style="23" customWidth="1"/>
    <col min="27" max="27" width="16.42578125" style="23" customWidth="1" outlineLevel="1"/>
    <col min="28" max="28" width="10.7109375" style="23" customWidth="1" outlineLevel="1"/>
    <col min="29" max="29" width="9.85546875" style="23" customWidth="1" outlineLevel="1"/>
    <col min="30" max="30" width="11.140625" style="23" customWidth="1" outlineLevel="1"/>
    <col min="31" max="32" width="11.140625" style="23" hidden="1" customWidth="1" outlineLevel="2"/>
    <col min="33" max="33" width="11.28515625" style="23" customWidth="1" outlineLevel="1" collapsed="1"/>
    <col min="34" max="34" width="10.28515625" style="23" customWidth="1" outlineLevel="1"/>
    <col min="35" max="35" width="11.140625" style="23" customWidth="1" outlineLevel="1"/>
    <col min="36" max="36" width="10.7109375" style="23" customWidth="1" outlineLevel="1"/>
    <col min="37" max="37" width="3.5703125" style="15" customWidth="1" outlineLevel="1"/>
    <col min="38" max="38" width="13.7109375" style="23" customWidth="1" outlineLevel="1"/>
    <col min="39" max="39" width="13.7109375" style="15" customWidth="1"/>
    <col min="40" max="41" width="9.140625" style="15"/>
    <col min="42" max="43" width="19.85546875" style="29" bestFit="1" customWidth="1"/>
    <col min="44" max="16384" width="9.140625" style="15"/>
  </cols>
  <sheetData>
    <row r="1" spans="1:43">
      <c r="B1" s="16" t="s">
        <v>12</v>
      </c>
      <c r="C1" s="17" t="s">
        <v>123</v>
      </c>
      <c r="D1" s="18"/>
      <c r="E1" s="18"/>
      <c r="F1" s="18"/>
      <c r="G1" s="19"/>
      <c r="H1" s="19"/>
      <c r="I1" s="18"/>
      <c r="J1" s="20" t="s">
        <v>13</v>
      </c>
      <c r="K1" s="17" t="s">
        <v>153</v>
      </c>
      <c r="L1" s="17"/>
      <c r="M1" s="17"/>
      <c r="N1" s="18"/>
      <c r="O1" s="18"/>
      <c r="P1" s="18"/>
      <c r="Q1" s="18"/>
      <c r="R1" s="18"/>
      <c r="S1" s="18"/>
      <c r="T1" s="18"/>
      <c r="U1" s="18"/>
      <c r="V1" s="18"/>
      <c r="W1" s="18" t="s">
        <v>14</v>
      </c>
      <c r="X1" s="21">
        <f>'War Risk'!B4</f>
        <v>60.949999999999996</v>
      </c>
      <c r="Y1" s="22"/>
      <c r="AP1" s="24"/>
      <c r="AQ1" s="24"/>
    </row>
    <row r="2" spans="1:43">
      <c r="B2" s="25" t="s">
        <v>15</v>
      </c>
      <c r="C2" s="213" t="s">
        <v>124</v>
      </c>
      <c r="D2" s="213"/>
      <c r="E2" s="213"/>
      <c r="F2" s="213"/>
      <c r="G2" s="213"/>
      <c r="H2" s="213"/>
      <c r="I2" s="214"/>
      <c r="J2" s="26" t="s">
        <v>16</v>
      </c>
      <c r="K2" s="27" t="s">
        <v>125</v>
      </c>
      <c r="L2" s="27"/>
      <c r="M2" s="27"/>
      <c r="N2" s="15"/>
      <c r="O2" s="15"/>
      <c r="P2" s="15"/>
      <c r="Q2" s="15"/>
      <c r="R2" s="15"/>
      <c r="S2" s="15"/>
      <c r="T2" s="15"/>
      <c r="U2" s="15"/>
      <c r="V2" s="15"/>
      <c r="W2" s="15" t="s">
        <v>17</v>
      </c>
      <c r="X2" s="15">
        <v>260</v>
      </c>
      <c r="Y2" s="28"/>
    </row>
    <row r="3" spans="1:43" s="32" customFormat="1" ht="13.5" thickBot="1">
      <c r="A3" s="15"/>
      <c r="B3" s="30" t="s">
        <v>18</v>
      </c>
      <c r="C3" s="31" t="s">
        <v>19</v>
      </c>
      <c r="G3" s="33"/>
      <c r="H3" s="33"/>
      <c r="J3" s="34"/>
      <c r="N3" s="35"/>
      <c r="W3" s="32" t="s">
        <v>20</v>
      </c>
      <c r="X3" s="36">
        <f>X1/X2</f>
        <v>0.2344230769230769</v>
      </c>
      <c r="Y3" s="37"/>
      <c r="AD3" s="35"/>
      <c r="AP3" s="38"/>
      <c r="AQ3" s="38"/>
    </row>
    <row r="4" spans="1:43">
      <c r="B4" s="25"/>
      <c r="C4" s="15"/>
      <c r="D4" s="15"/>
      <c r="E4" s="15"/>
      <c r="F4" s="15"/>
      <c r="G4" s="39"/>
      <c r="H4" s="39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28"/>
      <c r="AJ4" s="15"/>
    </row>
    <row r="5" spans="1:43" outlineLevel="1">
      <c r="B5" s="25"/>
      <c r="C5" s="15"/>
      <c r="D5" s="15"/>
      <c r="E5" s="15"/>
      <c r="F5" s="15"/>
      <c r="G5" s="40"/>
      <c r="H5" s="40"/>
      <c r="I5" s="41"/>
      <c r="J5" s="15"/>
      <c r="K5" s="42" t="str">
        <f>K28&amp;"%"</f>
        <v>B%</v>
      </c>
      <c r="L5" s="42" t="str">
        <f>L28&amp;"%"</f>
        <v>%</v>
      </c>
      <c r="M5" s="42" t="str">
        <f>M28&amp;"%"</f>
        <v>%</v>
      </c>
      <c r="N5" s="42" t="str">
        <f>N28&amp;"%"</f>
        <v>C%</v>
      </c>
      <c r="O5" s="42" t="str">
        <f>O28&amp;"%"</f>
        <v>D%</v>
      </c>
      <c r="P5" s="42"/>
      <c r="Q5" s="42" t="str">
        <f>Q28&amp;"%"</f>
        <v>%</v>
      </c>
      <c r="R5" s="42" t="str">
        <f>R28&amp;"%"</f>
        <v>%</v>
      </c>
      <c r="S5" s="42" t="str">
        <f>S28&amp;"%"</f>
        <v>%</v>
      </c>
      <c r="T5" s="42" t="str">
        <f>T28&amp;"%"</f>
        <v>E%</v>
      </c>
      <c r="U5" s="42"/>
      <c r="V5" s="42" t="str">
        <f>V28&amp;"%"</f>
        <v>G%</v>
      </c>
      <c r="W5" s="15"/>
      <c r="X5" s="15"/>
      <c r="Y5" s="28"/>
      <c r="AC5" s="42"/>
      <c r="AD5" s="42"/>
      <c r="AE5" s="42"/>
      <c r="AF5" s="42"/>
      <c r="AG5" s="42"/>
      <c r="AH5" s="42"/>
      <c r="AI5" s="42"/>
      <c r="AJ5" s="43"/>
      <c r="AK5" s="44"/>
    </row>
    <row r="6" spans="1:43" outlineLevel="1">
      <c r="B6" s="25"/>
      <c r="C6" s="15"/>
      <c r="D6" s="15"/>
      <c r="E6" s="15"/>
      <c r="F6" s="45"/>
      <c r="G6" s="46"/>
      <c r="H6" s="42"/>
      <c r="I6" s="47">
        <f t="shared" ref="I6:T6" ca="1" si="0">COLUMN(I6)-COLUMN(OFFSET($I6,0,-1))</f>
        <v>1</v>
      </c>
      <c r="J6" s="47">
        <f t="shared" ca="1" si="0"/>
        <v>2</v>
      </c>
      <c r="K6" s="47">
        <f t="shared" ca="1" si="0"/>
        <v>3</v>
      </c>
      <c r="L6" s="47">
        <f t="shared" ca="1" si="0"/>
        <v>4</v>
      </c>
      <c r="M6" s="47">
        <f t="shared" ca="1" si="0"/>
        <v>5</v>
      </c>
      <c r="N6" s="47">
        <f t="shared" ca="1" si="0"/>
        <v>6</v>
      </c>
      <c r="O6" s="47">
        <f t="shared" ca="1" si="0"/>
        <v>7</v>
      </c>
      <c r="P6" s="47">
        <f t="shared" ca="1" si="0"/>
        <v>8</v>
      </c>
      <c r="Q6" s="47">
        <f t="shared" ca="1" si="0"/>
        <v>9</v>
      </c>
      <c r="R6" s="47">
        <f t="shared" ca="1" si="0"/>
        <v>10</v>
      </c>
      <c r="S6" s="47">
        <f t="shared" ca="1" si="0"/>
        <v>11</v>
      </c>
      <c r="T6" s="47">
        <f t="shared" ca="1" si="0"/>
        <v>12</v>
      </c>
      <c r="U6" s="47"/>
      <c r="V6" s="47">
        <f ca="1">COLUMN(V6)-COLUMN(OFFSET($I6,0,-1))</f>
        <v>14</v>
      </c>
      <c r="W6" s="15"/>
      <c r="X6" s="15"/>
      <c r="Y6" s="28"/>
      <c r="AB6" s="42"/>
      <c r="AC6" s="42"/>
      <c r="AD6" s="42"/>
      <c r="AE6" s="42"/>
      <c r="AF6" s="42"/>
      <c r="AG6" s="42"/>
      <c r="AH6" s="42"/>
      <c r="AI6" s="42"/>
      <c r="AJ6" s="43"/>
      <c r="AK6" s="44"/>
    </row>
    <row r="7" spans="1:43">
      <c r="B7" s="48"/>
      <c r="C7" s="49" t="s">
        <v>21</v>
      </c>
      <c r="D7" s="49" t="s">
        <v>22</v>
      </c>
      <c r="E7" s="49"/>
      <c r="F7" s="50"/>
      <c r="G7" s="51"/>
      <c r="H7" s="51"/>
      <c r="I7" s="52"/>
      <c r="J7" s="53"/>
      <c r="K7" s="53"/>
      <c r="L7" s="53"/>
      <c r="M7" s="53"/>
      <c r="N7" s="53" t="s">
        <v>126</v>
      </c>
      <c r="O7" s="53"/>
      <c r="P7" s="53"/>
      <c r="Q7" s="53"/>
      <c r="R7" s="53"/>
      <c r="S7" s="53"/>
      <c r="T7" s="53" t="str">
        <f>$N7</f>
        <v>Contr/Govt</v>
      </c>
      <c r="U7" s="53"/>
      <c r="V7" s="54"/>
      <c r="W7" s="15"/>
      <c r="X7" s="15"/>
      <c r="Y7" s="28"/>
      <c r="AA7" s="55"/>
      <c r="AB7" s="51"/>
      <c r="AC7" s="51" t="str">
        <f>N7</f>
        <v>Contr/Govt</v>
      </c>
      <c r="AD7" s="51"/>
      <c r="AE7" s="51"/>
      <c r="AF7" s="51"/>
      <c r="AG7" s="51" t="str">
        <f>T7</f>
        <v>Contr/Govt</v>
      </c>
      <c r="AH7" s="51"/>
      <c r="AI7" s="56"/>
      <c r="AJ7" s="26"/>
    </row>
    <row r="8" spans="1:43" ht="14.25" customHeight="1">
      <c r="B8" s="57" t="s">
        <v>127</v>
      </c>
      <c r="C8" s="58">
        <v>40330</v>
      </c>
      <c r="D8" s="59">
        <v>40422</v>
      </c>
      <c r="E8" s="60"/>
      <c r="F8" s="61"/>
      <c r="G8" s="62" t="s">
        <v>23</v>
      </c>
      <c r="H8" s="62" t="s">
        <v>24</v>
      </c>
      <c r="I8" s="63" t="s">
        <v>25</v>
      </c>
      <c r="J8" s="62" t="s">
        <v>26</v>
      </c>
      <c r="K8" s="62" t="s">
        <v>27</v>
      </c>
      <c r="L8" s="62" t="s">
        <v>28</v>
      </c>
      <c r="M8" s="62" t="s">
        <v>29</v>
      </c>
      <c r="N8" s="62" t="s">
        <v>30</v>
      </c>
      <c r="O8" s="62" t="s">
        <v>31</v>
      </c>
      <c r="P8" s="62" t="s">
        <v>32</v>
      </c>
      <c r="Q8" s="62" t="s">
        <v>33</v>
      </c>
      <c r="R8" s="62" t="s">
        <v>34</v>
      </c>
      <c r="S8" s="62" t="s">
        <v>35</v>
      </c>
      <c r="T8" s="62" t="s">
        <v>36</v>
      </c>
      <c r="U8" s="62" t="s">
        <v>37</v>
      </c>
      <c r="V8" s="64" t="s">
        <v>38</v>
      </c>
      <c r="W8" s="15"/>
      <c r="X8" s="15"/>
      <c r="Y8" s="28"/>
      <c r="AA8" s="65" t="s">
        <v>39</v>
      </c>
      <c r="AB8" s="62" t="str">
        <f>K8</f>
        <v>Esc. Factor</v>
      </c>
      <c r="AC8" s="62" t="str">
        <f>N8</f>
        <v>PRB</v>
      </c>
      <c r="AD8" s="62" t="str">
        <f>O8</f>
        <v>Overhead</v>
      </c>
      <c r="AE8" s="62" t="str">
        <f>R8</f>
        <v>War Risk</v>
      </c>
      <c r="AF8" s="62" t="str">
        <f>S8</f>
        <v>Bonus</v>
      </c>
      <c r="AG8" s="62" t="str">
        <f>T8</f>
        <v>G&amp;A</v>
      </c>
      <c r="AH8" s="62" t="str">
        <f>U8</f>
        <v>Cost</v>
      </c>
      <c r="AI8" s="64" t="str">
        <f>V8</f>
        <v>Profit / Fee</v>
      </c>
      <c r="AJ8" s="26"/>
    </row>
    <row r="9" spans="1:43">
      <c r="B9" s="25"/>
      <c r="C9" s="15"/>
      <c r="D9" s="15"/>
      <c r="E9" s="15"/>
      <c r="F9" s="61"/>
      <c r="G9" s="66" t="s">
        <v>128</v>
      </c>
      <c r="H9" s="67" t="s">
        <v>44</v>
      </c>
      <c r="I9" s="68" t="s">
        <v>40</v>
      </c>
      <c r="J9" s="69">
        <v>3.3000000000000002E-2</v>
      </c>
      <c r="K9" s="70">
        <v>1</v>
      </c>
      <c r="L9" s="71">
        <v>0.35</v>
      </c>
      <c r="M9" s="71">
        <v>0.35</v>
      </c>
      <c r="N9" s="72">
        <v>0.3125</v>
      </c>
      <c r="O9" s="72">
        <v>0.15</v>
      </c>
      <c r="P9" s="73">
        <v>0</v>
      </c>
      <c r="Q9" s="71">
        <v>3.9E-2</v>
      </c>
      <c r="R9" s="74">
        <f>X3</f>
        <v>0.2344230769230769</v>
      </c>
      <c r="S9" s="71">
        <v>0</v>
      </c>
      <c r="T9" s="72">
        <v>9.7500000000000003E-2</v>
      </c>
      <c r="U9" s="75"/>
      <c r="V9" s="76">
        <v>0.15</v>
      </c>
      <c r="W9" s="15"/>
      <c r="X9" s="15"/>
      <c r="Y9" s="28"/>
      <c r="AA9" s="77">
        <f t="shared" ref="AA9:AA24" si="1">IF(J9="","",J9)</f>
        <v>3.3000000000000002E-2</v>
      </c>
      <c r="AB9" s="70">
        <f t="shared" ref="AB9:AB24" si="2">IF(K9="","",K9)</f>
        <v>1</v>
      </c>
      <c r="AC9" s="72">
        <f t="shared" ref="AC9:AC24" si="3">IF(N9="","",N9)</f>
        <v>0.3125</v>
      </c>
      <c r="AD9" s="72">
        <f t="shared" ref="AD9:AD24" si="4">IF(O9="","",O9)</f>
        <v>0.15</v>
      </c>
      <c r="AE9" s="72">
        <f t="shared" ref="AE9:AE24" si="5">IF(R9="","",R9)</f>
        <v>0.2344230769230769</v>
      </c>
      <c r="AF9" s="72">
        <f t="shared" ref="AF9:AF24" si="6">IF(S9="","",S9)</f>
        <v>0</v>
      </c>
      <c r="AG9" s="72">
        <f t="shared" ref="AG9:AG24" si="7">IF(T9="","",T9)</f>
        <v>9.7500000000000003E-2</v>
      </c>
      <c r="AH9" s="75"/>
      <c r="AI9" s="78">
        <f t="shared" ref="AI9:AI24" si="8">IF(V9="","",V9)</f>
        <v>0.15</v>
      </c>
      <c r="AJ9" s="26"/>
    </row>
    <row r="10" spans="1:43" ht="15" customHeight="1">
      <c r="B10" s="25"/>
      <c r="C10" s="15"/>
      <c r="D10" s="15"/>
      <c r="E10" s="15"/>
      <c r="F10" s="61"/>
      <c r="G10" s="79" t="str">
        <f>G$9</f>
        <v>IS</v>
      </c>
      <c r="H10" s="80" t="s">
        <v>41</v>
      </c>
      <c r="I10" s="81" t="s">
        <v>41</v>
      </c>
      <c r="J10" s="69">
        <v>3.3000000000000002E-2</v>
      </c>
      <c r="K10" s="70">
        <v>1</v>
      </c>
      <c r="L10" s="82">
        <v>0</v>
      </c>
      <c r="M10" s="71">
        <v>0</v>
      </c>
      <c r="N10" s="72">
        <v>0.3125</v>
      </c>
      <c r="O10" s="72">
        <v>0.02</v>
      </c>
      <c r="P10" s="73">
        <v>0</v>
      </c>
      <c r="Q10" s="71">
        <v>0</v>
      </c>
      <c r="R10" s="71">
        <v>0</v>
      </c>
      <c r="S10" s="71">
        <v>0</v>
      </c>
      <c r="T10" s="72">
        <v>9.7500000000000003E-2</v>
      </c>
      <c r="U10" s="83"/>
      <c r="V10" s="84">
        <f t="shared" ref="V10:V22" si="9">V9</f>
        <v>0.15</v>
      </c>
      <c r="W10" s="15"/>
      <c r="X10" s="15"/>
      <c r="Y10" s="28"/>
      <c r="AA10" s="85">
        <f t="shared" si="1"/>
        <v>3.3000000000000002E-2</v>
      </c>
      <c r="AB10" s="86">
        <f t="shared" si="2"/>
        <v>1</v>
      </c>
      <c r="AC10" s="72">
        <f t="shared" si="3"/>
        <v>0.3125</v>
      </c>
      <c r="AD10" s="72">
        <f t="shared" si="4"/>
        <v>0.02</v>
      </c>
      <c r="AE10" s="87">
        <f t="shared" si="5"/>
        <v>0</v>
      </c>
      <c r="AF10" s="87">
        <f t="shared" si="6"/>
        <v>0</v>
      </c>
      <c r="AG10" s="72">
        <f t="shared" si="7"/>
        <v>9.7500000000000003E-2</v>
      </c>
      <c r="AH10" s="83"/>
      <c r="AI10" s="88">
        <f t="shared" si="8"/>
        <v>0.15</v>
      </c>
      <c r="AJ10" s="26"/>
    </row>
    <row r="11" spans="1:43" outlineLevel="1">
      <c r="B11" s="25"/>
      <c r="C11" s="15"/>
      <c r="D11" s="15"/>
      <c r="E11" s="15"/>
      <c r="F11" s="61"/>
      <c r="G11" s="79" t="str">
        <f>G$9</f>
        <v>IS</v>
      </c>
      <c r="H11" s="80" t="str">
        <f>H$9</f>
        <v>Contr</v>
      </c>
      <c r="I11" s="81" t="s">
        <v>42</v>
      </c>
      <c r="J11" s="89">
        <v>0</v>
      </c>
      <c r="K11" s="86">
        <v>1</v>
      </c>
      <c r="L11" s="82">
        <v>0</v>
      </c>
      <c r="M11" s="71">
        <v>0</v>
      </c>
      <c r="N11" s="72">
        <v>0.3125</v>
      </c>
      <c r="O11" s="72">
        <v>0.15</v>
      </c>
      <c r="P11" s="73">
        <v>0</v>
      </c>
      <c r="Q11" s="71">
        <v>0</v>
      </c>
      <c r="R11" s="82">
        <v>0</v>
      </c>
      <c r="S11" s="71">
        <v>0</v>
      </c>
      <c r="T11" s="72">
        <v>9.7500000000000003E-2</v>
      </c>
      <c r="U11" s="83"/>
      <c r="V11" s="84">
        <f t="shared" si="9"/>
        <v>0.15</v>
      </c>
      <c r="W11" s="15"/>
      <c r="X11" s="15"/>
      <c r="Y11" s="28"/>
      <c r="AA11" s="85">
        <f t="shared" si="1"/>
        <v>0</v>
      </c>
      <c r="AB11" s="86">
        <f t="shared" si="2"/>
        <v>1</v>
      </c>
      <c r="AC11" s="72">
        <f t="shared" si="3"/>
        <v>0.3125</v>
      </c>
      <c r="AD11" s="72">
        <f t="shared" si="4"/>
        <v>0.15</v>
      </c>
      <c r="AE11" s="72">
        <f t="shared" si="5"/>
        <v>0</v>
      </c>
      <c r="AF11" s="87">
        <f t="shared" si="6"/>
        <v>0</v>
      </c>
      <c r="AG11" s="72">
        <f t="shared" si="7"/>
        <v>9.7500000000000003E-2</v>
      </c>
      <c r="AH11" s="83"/>
      <c r="AI11" s="88">
        <f t="shared" si="8"/>
        <v>0.15</v>
      </c>
      <c r="AJ11" s="26"/>
    </row>
    <row r="12" spans="1:43" outlineLevel="1">
      <c r="B12" s="25"/>
      <c r="C12" s="15"/>
      <c r="D12" s="15"/>
      <c r="E12" s="15"/>
      <c r="F12" s="61"/>
      <c r="G12" s="79" t="str">
        <f>G$9</f>
        <v>IS</v>
      </c>
      <c r="H12" s="80" t="str">
        <f>H$10</f>
        <v>Govt</v>
      </c>
      <c r="I12" s="81" t="s">
        <v>43</v>
      </c>
      <c r="J12" s="89">
        <v>0</v>
      </c>
      <c r="K12" s="86">
        <v>1</v>
      </c>
      <c r="L12" s="82">
        <v>0</v>
      </c>
      <c r="M12" s="71">
        <v>0</v>
      </c>
      <c r="N12" s="72">
        <v>0.3125</v>
      </c>
      <c r="O12" s="72">
        <v>0.02</v>
      </c>
      <c r="P12" s="73">
        <v>0</v>
      </c>
      <c r="Q12" s="82">
        <v>0</v>
      </c>
      <c r="R12" s="82">
        <v>0</v>
      </c>
      <c r="S12" s="82">
        <v>0</v>
      </c>
      <c r="T12" s="72">
        <v>9.7500000000000003E-2</v>
      </c>
      <c r="U12" s="83"/>
      <c r="V12" s="84">
        <f t="shared" si="9"/>
        <v>0.15</v>
      </c>
      <c r="W12" s="15"/>
      <c r="X12" s="15"/>
      <c r="Y12" s="28"/>
      <c r="AA12" s="85">
        <f t="shared" si="1"/>
        <v>0</v>
      </c>
      <c r="AB12" s="86">
        <f t="shared" si="2"/>
        <v>1</v>
      </c>
      <c r="AC12" s="72">
        <f t="shared" si="3"/>
        <v>0.3125</v>
      </c>
      <c r="AD12" s="72">
        <f t="shared" si="4"/>
        <v>0.02</v>
      </c>
      <c r="AE12" s="87">
        <f t="shared" si="5"/>
        <v>0</v>
      </c>
      <c r="AF12" s="87">
        <f t="shared" si="6"/>
        <v>0</v>
      </c>
      <c r="AG12" s="72">
        <f t="shared" si="7"/>
        <v>9.7500000000000003E-2</v>
      </c>
      <c r="AH12" s="83"/>
      <c r="AI12" s="88">
        <f t="shared" si="8"/>
        <v>0.15</v>
      </c>
      <c r="AJ12" s="26"/>
    </row>
    <row r="13" spans="1:43" outlineLevel="1">
      <c r="B13" s="25"/>
      <c r="C13" s="15"/>
      <c r="D13" s="15"/>
      <c r="E13" s="15"/>
      <c r="F13" s="61"/>
      <c r="G13" s="79" t="str">
        <f>G$9</f>
        <v>IS</v>
      </c>
      <c r="H13" s="80" t="str">
        <f>H$9</f>
        <v>Contr</v>
      </c>
      <c r="I13" s="81" t="s">
        <v>44</v>
      </c>
      <c r="J13" s="69">
        <v>3.3000000000000002E-2</v>
      </c>
      <c r="K13" s="70">
        <v>1</v>
      </c>
      <c r="L13" s="82">
        <v>0</v>
      </c>
      <c r="M13" s="71">
        <v>0</v>
      </c>
      <c r="N13" s="72">
        <v>0.3125</v>
      </c>
      <c r="O13" s="72">
        <v>0.15</v>
      </c>
      <c r="P13" s="73">
        <v>0</v>
      </c>
      <c r="Q13" s="71">
        <v>0</v>
      </c>
      <c r="R13" s="71">
        <v>0</v>
      </c>
      <c r="S13" s="71">
        <v>0</v>
      </c>
      <c r="T13" s="72">
        <v>9.7500000000000003E-2</v>
      </c>
      <c r="U13" s="83"/>
      <c r="V13" s="84">
        <f t="shared" si="9"/>
        <v>0.15</v>
      </c>
      <c r="W13" s="15"/>
      <c r="X13" s="15"/>
      <c r="Y13" s="28"/>
      <c r="AA13" s="85">
        <f t="shared" si="1"/>
        <v>3.3000000000000002E-2</v>
      </c>
      <c r="AB13" s="86">
        <f t="shared" si="2"/>
        <v>1</v>
      </c>
      <c r="AC13" s="72">
        <f t="shared" si="3"/>
        <v>0.3125</v>
      </c>
      <c r="AD13" s="72">
        <f t="shared" si="4"/>
        <v>0.15</v>
      </c>
      <c r="AE13" s="72">
        <f t="shared" si="5"/>
        <v>0</v>
      </c>
      <c r="AF13" s="72">
        <f t="shared" si="6"/>
        <v>0</v>
      </c>
      <c r="AG13" s="72">
        <f t="shared" si="7"/>
        <v>9.7500000000000003E-2</v>
      </c>
      <c r="AH13" s="83"/>
      <c r="AI13" s="88">
        <f t="shared" si="8"/>
        <v>0.15</v>
      </c>
      <c r="AJ13" s="26"/>
    </row>
    <row r="14" spans="1:43" outlineLevel="1">
      <c r="B14" s="25"/>
      <c r="C14" s="15"/>
      <c r="D14" s="15"/>
      <c r="E14" s="15"/>
      <c r="F14" s="61"/>
      <c r="G14" s="79" t="str">
        <f>G13</f>
        <v>IS</v>
      </c>
      <c r="H14" s="80" t="str">
        <f>H$10</f>
        <v>Govt</v>
      </c>
      <c r="I14" s="81" t="s">
        <v>45</v>
      </c>
      <c r="J14" s="69">
        <v>3.3000000000000002E-2</v>
      </c>
      <c r="K14" s="70">
        <v>1</v>
      </c>
      <c r="L14" s="82">
        <v>0</v>
      </c>
      <c r="M14" s="71">
        <v>0</v>
      </c>
      <c r="N14" s="72">
        <v>0.3125</v>
      </c>
      <c r="O14" s="72">
        <v>0.02</v>
      </c>
      <c r="P14" s="73">
        <f>Y5</f>
        <v>0</v>
      </c>
      <c r="Q14" s="71">
        <v>0</v>
      </c>
      <c r="R14" s="71">
        <v>0</v>
      </c>
      <c r="S14" s="71">
        <v>0</v>
      </c>
      <c r="T14" s="72">
        <v>9.7500000000000003E-2</v>
      </c>
      <c r="U14" s="83"/>
      <c r="V14" s="84">
        <f t="shared" si="9"/>
        <v>0.15</v>
      </c>
      <c r="W14" s="15"/>
      <c r="X14" s="15"/>
      <c r="Y14" s="28"/>
      <c r="AA14" s="85">
        <f t="shared" si="1"/>
        <v>3.3000000000000002E-2</v>
      </c>
      <c r="AB14" s="86">
        <f t="shared" si="2"/>
        <v>1</v>
      </c>
      <c r="AC14" s="72">
        <f t="shared" si="3"/>
        <v>0.3125</v>
      </c>
      <c r="AD14" s="72">
        <f t="shared" si="4"/>
        <v>0.02</v>
      </c>
      <c r="AE14" s="87">
        <f t="shared" si="5"/>
        <v>0</v>
      </c>
      <c r="AF14" s="87">
        <f t="shared" si="6"/>
        <v>0</v>
      </c>
      <c r="AG14" s="72">
        <f t="shared" si="7"/>
        <v>9.7500000000000003E-2</v>
      </c>
      <c r="AH14" s="83"/>
      <c r="AI14" s="88">
        <f t="shared" si="8"/>
        <v>0.15</v>
      </c>
      <c r="AJ14" s="26"/>
    </row>
    <row r="15" spans="1:43" outlineLevel="1">
      <c r="B15" s="25"/>
      <c r="C15" s="15"/>
      <c r="D15" s="15"/>
      <c r="E15" s="15"/>
      <c r="F15" s="61"/>
      <c r="G15" s="79" t="s">
        <v>129</v>
      </c>
      <c r="H15" s="80" t="str">
        <f>H$9</f>
        <v>Contr</v>
      </c>
      <c r="I15" s="81" t="s">
        <v>46</v>
      </c>
      <c r="J15" s="69">
        <v>3.3000000000000002E-2</v>
      </c>
      <c r="K15" s="70">
        <v>1</v>
      </c>
      <c r="L15" s="82">
        <v>0</v>
      </c>
      <c r="M15" s="71">
        <v>0</v>
      </c>
      <c r="N15" s="72">
        <v>0.35099999999999998</v>
      </c>
      <c r="O15" s="72">
        <v>0.17249999999999999</v>
      </c>
      <c r="P15" s="73">
        <v>0</v>
      </c>
      <c r="Q15" s="71">
        <v>0</v>
      </c>
      <c r="R15" s="71">
        <v>0</v>
      </c>
      <c r="S15" s="71">
        <v>0</v>
      </c>
      <c r="T15" s="72">
        <v>9.5699999999999993E-2</v>
      </c>
      <c r="U15" s="83"/>
      <c r="V15" s="84">
        <f t="shared" si="9"/>
        <v>0.15</v>
      </c>
      <c r="W15" s="15"/>
      <c r="X15" s="15"/>
      <c r="Y15" s="28"/>
      <c r="AA15" s="85">
        <f t="shared" si="1"/>
        <v>3.3000000000000002E-2</v>
      </c>
      <c r="AB15" s="86">
        <f t="shared" si="2"/>
        <v>1</v>
      </c>
      <c r="AC15" s="72">
        <f t="shared" si="3"/>
        <v>0.35099999999999998</v>
      </c>
      <c r="AD15" s="72">
        <f t="shared" si="4"/>
        <v>0.17249999999999999</v>
      </c>
      <c r="AE15" s="72">
        <f t="shared" si="5"/>
        <v>0</v>
      </c>
      <c r="AF15" s="72">
        <f t="shared" si="6"/>
        <v>0</v>
      </c>
      <c r="AG15" s="72">
        <f t="shared" si="7"/>
        <v>9.5699999999999993E-2</v>
      </c>
      <c r="AH15" s="83"/>
      <c r="AI15" s="88">
        <f t="shared" si="8"/>
        <v>0.15</v>
      </c>
      <c r="AJ15" s="26"/>
    </row>
    <row r="16" spans="1:43" outlineLevel="1">
      <c r="B16" s="25"/>
      <c r="C16" s="15"/>
      <c r="D16" s="15"/>
      <c r="E16" s="15"/>
      <c r="F16" s="61"/>
      <c r="G16" s="79" t="str">
        <f>G15</f>
        <v>ESD</v>
      </c>
      <c r="H16" s="80" t="str">
        <f>H$10</f>
        <v>Govt</v>
      </c>
      <c r="I16" s="81" t="s">
        <v>47</v>
      </c>
      <c r="J16" s="69">
        <v>3.3000000000000002E-2</v>
      </c>
      <c r="K16" s="70">
        <v>1</v>
      </c>
      <c r="L16" s="82">
        <v>0</v>
      </c>
      <c r="M16" s="71">
        <v>0</v>
      </c>
      <c r="N16" s="72">
        <v>0.35099999999999998</v>
      </c>
      <c r="O16" s="72">
        <v>3.1E-2</v>
      </c>
      <c r="P16" s="73">
        <f>Y5</f>
        <v>0</v>
      </c>
      <c r="Q16" s="71">
        <v>0</v>
      </c>
      <c r="R16" s="82">
        <v>0</v>
      </c>
      <c r="S16" s="82">
        <v>0</v>
      </c>
      <c r="T16" s="72">
        <v>9.5699999999999993E-2</v>
      </c>
      <c r="U16" s="83"/>
      <c r="V16" s="84">
        <f t="shared" si="9"/>
        <v>0.15</v>
      </c>
      <c r="W16" s="15"/>
      <c r="X16" s="15"/>
      <c r="Y16" s="28"/>
      <c r="AA16" s="85">
        <f t="shared" si="1"/>
        <v>3.3000000000000002E-2</v>
      </c>
      <c r="AB16" s="86">
        <f t="shared" si="2"/>
        <v>1</v>
      </c>
      <c r="AC16" s="72">
        <f t="shared" si="3"/>
        <v>0.35099999999999998</v>
      </c>
      <c r="AD16" s="72">
        <f t="shared" si="4"/>
        <v>3.1E-2</v>
      </c>
      <c r="AE16" s="87">
        <f t="shared" si="5"/>
        <v>0</v>
      </c>
      <c r="AF16" s="87">
        <f t="shared" si="6"/>
        <v>0</v>
      </c>
      <c r="AG16" s="72">
        <f t="shared" si="7"/>
        <v>9.5699999999999993E-2</v>
      </c>
      <c r="AH16" s="83"/>
      <c r="AI16" s="88">
        <f t="shared" si="8"/>
        <v>0.15</v>
      </c>
      <c r="AJ16" s="26"/>
    </row>
    <row r="17" spans="1:43" outlineLevel="1">
      <c r="B17" s="25"/>
      <c r="C17" s="15"/>
      <c r="D17" s="15"/>
      <c r="E17" s="15"/>
      <c r="F17" s="61"/>
      <c r="G17" s="79" t="str">
        <f>G$9</f>
        <v>IS</v>
      </c>
      <c r="H17" s="80" t="str">
        <f>H$9</f>
        <v>Contr</v>
      </c>
      <c r="I17" s="81" t="s">
        <v>48</v>
      </c>
      <c r="J17" s="69">
        <v>3.3000000000000002E-2</v>
      </c>
      <c r="K17" s="70">
        <v>1</v>
      </c>
      <c r="L17" s="82">
        <v>0</v>
      </c>
      <c r="M17" s="71">
        <v>0</v>
      </c>
      <c r="N17" s="72">
        <v>0.3125</v>
      </c>
      <c r="O17" s="72">
        <v>0.15</v>
      </c>
      <c r="P17" s="73">
        <v>0</v>
      </c>
      <c r="Q17" s="82">
        <v>0.5</v>
      </c>
      <c r="R17" s="82">
        <v>0</v>
      </c>
      <c r="S17" s="82">
        <v>0.5</v>
      </c>
      <c r="T17" s="72">
        <v>9.7500000000000003E-2</v>
      </c>
      <c r="U17" s="83"/>
      <c r="V17" s="84">
        <f t="shared" si="9"/>
        <v>0.15</v>
      </c>
      <c r="W17" s="15"/>
      <c r="X17" s="15"/>
      <c r="Y17" s="28"/>
      <c r="AA17" s="85">
        <f t="shared" si="1"/>
        <v>3.3000000000000002E-2</v>
      </c>
      <c r="AB17" s="86">
        <f t="shared" si="2"/>
        <v>1</v>
      </c>
      <c r="AC17" s="72">
        <f t="shared" si="3"/>
        <v>0.3125</v>
      </c>
      <c r="AD17" s="72">
        <f t="shared" si="4"/>
        <v>0.15</v>
      </c>
      <c r="AE17" s="87">
        <f t="shared" si="5"/>
        <v>0</v>
      </c>
      <c r="AF17" s="87">
        <f t="shared" si="6"/>
        <v>0.5</v>
      </c>
      <c r="AG17" s="72">
        <f t="shared" si="7"/>
        <v>9.7500000000000003E-2</v>
      </c>
      <c r="AH17" s="83"/>
      <c r="AI17" s="88">
        <f t="shared" si="8"/>
        <v>0.15</v>
      </c>
      <c r="AJ17" s="26"/>
    </row>
    <row r="18" spans="1:43" outlineLevel="1">
      <c r="B18" s="25"/>
      <c r="C18" s="15"/>
      <c r="D18" s="15"/>
      <c r="E18" s="15"/>
      <c r="F18" s="61"/>
      <c r="G18" s="79" t="str">
        <f t="shared" ref="G18:G24" si="10">G$9</f>
        <v>IS</v>
      </c>
      <c r="H18" s="80" t="str">
        <f>H$10</f>
        <v>Govt</v>
      </c>
      <c r="I18" s="81" t="s">
        <v>49</v>
      </c>
      <c r="J18" s="69">
        <v>3.3000000000000002E-2</v>
      </c>
      <c r="K18" s="70">
        <v>1</v>
      </c>
      <c r="L18" s="82">
        <v>0</v>
      </c>
      <c r="M18" s="71">
        <v>0</v>
      </c>
      <c r="N18" s="72">
        <v>0.3125</v>
      </c>
      <c r="O18" s="72">
        <v>0.02</v>
      </c>
      <c r="P18" s="73">
        <v>0</v>
      </c>
      <c r="Q18" s="82">
        <v>0.5</v>
      </c>
      <c r="R18" s="82">
        <v>0</v>
      </c>
      <c r="S18" s="82">
        <v>0.5</v>
      </c>
      <c r="T18" s="72">
        <v>9.7500000000000003E-2</v>
      </c>
      <c r="U18" s="83"/>
      <c r="V18" s="84">
        <f t="shared" si="9"/>
        <v>0.15</v>
      </c>
      <c r="W18" s="15"/>
      <c r="X18" s="15"/>
      <c r="Y18" s="28"/>
      <c r="AA18" s="85">
        <f t="shared" si="1"/>
        <v>3.3000000000000002E-2</v>
      </c>
      <c r="AB18" s="86">
        <f t="shared" si="2"/>
        <v>1</v>
      </c>
      <c r="AC18" s="72">
        <f t="shared" si="3"/>
        <v>0.3125</v>
      </c>
      <c r="AD18" s="72">
        <f t="shared" si="4"/>
        <v>0.02</v>
      </c>
      <c r="AE18" s="87">
        <f t="shared" si="5"/>
        <v>0</v>
      </c>
      <c r="AF18" s="87">
        <f t="shared" si="6"/>
        <v>0.5</v>
      </c>
      <c r="AG18" s="72">
        <f t="shared" si="7"/>
        <v>9.7500000000000003E-2</v>
      </c>
      <c r="AH18" s="83"/>
      <c r="AI18" s="88">
        <f t="shared" si="8"/>
        <v>0.15</v>
      </c>
      <c r="AJ18" s="26"/>
    </row>
    <row r="19" spans="1:43" outlineLevel="1">
      <c r="B19" s="25"/>
      <c r="C19" s="15"/>
      <c r="D19" s="15"/>
      <c r="E19" s="15"/>
      <c r="F19" s="61"/>
      <c r="G19" s="79" t="str">
        <f t="shared" si="10"/>
        <v>IS</v>
      </c>
      <c r="H19" s="80" t="str">
        <f>H$9</f>
        <v>Contr</v>
      </c>
      <c r="I19" s="81" t="s">
        <v>50</v>
      </c>
      <c r="J19" s="89">
        <v>0</v>
      </c>
      <c r="K19" s="86">
        <v>1</v>
      </c>
      <c r="L19" s="82">
        <v>0</v>
      </c>
      <c r="M19" s="71">
        <v>0</v>
      </c>
      <c r="N19" s="72">
        <v>0.3125</v>
      </c>
      <c r="O19" s="72">
        <v>0.15</v>
      </c>
      <c r="P19" s="73">
        <v>0</v>
      </c>
      <c r="Q19" s="71">
        <v>0.5</v>
      </c>
      <c r="R19" s="71">
        <v>0</v>
      </c>
      <c r="S19" s="71">
        <v>0.5</v>
      </c>
      <c r="T19" s="72">
        <v>9.7500000000000003E-2</v>
      </c>
      <c r="U19" s="83"/>
      <c r="V19" s="84">
        <f t="shared" si="9"/>
        <v>0.15</v>
      </c>
      <c r="W19" s="15"/>
      <c r="X19" s="15"/>
      <c r="Y19" s="28"/>
      <c r="AA19" s="85">
        <f t="shared" si="1"/>
        <v>0</v>
      </c>
      <c r="AB19" s="86">
        <f t="shared" si="2"/>
        <v>1</v>
      </c>
      <c r="AC19" s="72">
        <f t="shared" si="3"/>
        <v>0.3125</v>
      </c>
      <c r="AD19" s="72">
        <f t="shared" si="4"/>
        <v>0.15</v>
      </c>
      <c r="AE19" s="72">
        <f t="shared" si="5"/>
        <v>0</v>
      </c>
      <c r="AF19" s="72">
        <f t="shared" si="6"/>
        <v>0.5</v>
      </c>
      <c r="AG19" s="72">
        <f t="shared" si="7"/>
        <v>9.7500000000000003E-2</v>
      </c>
      <c r="AH19" s="83"/>
      <c r="AI19" s="88">
        <f t="shared" si="8"/>
        <v>0.15</v>
      </c>
      <c r="AJ19" s="26"/>
    </row>
    <row r="20" spans="1:43" outlineLevel="1">
      <c r="B20" s="25"/>
      <c r="C20" s="15"/>
      <c r="D20" s="15"/>
      <c r="E20" s="15"/>
      <c r="F20" s="61"/>
      <c r="G20" s="79" t="str">
        <f t="shared" si="10"/>
        <v>IS</v>
      </c>
      <c r="H20" s="80" t="str">
        <f>H$10</f>
        <v>Govt</v>
      </c>
      <c r="I20" s="81" t="s">
        <v>51</v>
      </c>
      <c r="J20" s="89">
        <v>0</v>
      </c>
      <c r="K20" s="86">
        <v>1</v>
      </c>
      <c r="L20" s="82">
        <v>0</v>
      </c>
      <c r="M20" s="71">
        <v>0</v>
      </c>
      <c r="N20" s="72">
        <v>0.3125</v>
      </c>
      <c r="O20" s="72">
        <v>0.02</v>
      </c>
      <c r="P20" s="73">
        <v>0</v>
      </c>
      <c r="Q20" s="82">
        <v>0.5</v>
      </c>
      <c r="R20" s="82">
        <v>0</v>
      </c>
      <c r="S20" s="82">
        <v>0.5</v>
      </c>
      <c r="T20" s="72">
        <v>9.7500000000000003E-2</v>
      </c>
      <c r="U20" s="83"/>
      <c r="V20" s="84">
        <f t="shared" si="9"/>
        <v>0.15</v>
      </c>
      <c r="W20" s="15"/>
      <c r="X20" s="15"/>
      <c r="Y20" s="28"/>
      <c r="AA20" s="85">
        <f t="shared" si="1"/>
        <v>0</v>
      </c>
      <c r="AB20" s="86">
        <f t="shared" si="2"/>
        <v>1</v>
      </c>
      <c r="AC20" s="72">
        <f t="shared" si="3"/>
        <v>0.3125</v>
      </c>
      <c r="AD20" s="72">
        <f t="shared" si="4"/>
        <v>0.02</v>
      </c>
      <c r="AE20" s="87">
        <f t="shared" si="5"/>
        <v>0</v>
      </c>
      <c r="AF20" s="87">
        <f t="shared" si="6"/>
        <v>0.5</v>
      </c>
      <c r="AG20" s="72">
        <f t="shared" si="7"/>
        <v>9.7500000000000003E-2</v>
      </c>
      <c r="AH20" s="83"/>
      <c r="AI20" s="88">
        <f t="shared" si="8"/>
        <v>0.15</v>
      </c>
      <c r="AJ20" s="26"/>
    </row>
    <row r="21" spans="1:43">
      <c r="B21" s="25"/>
      <c r="C21" s="15"/>
      <c r="D21" s="15"/>
      <c r="E21" s="15"/>
      <c r="F21" s="61"/>
      <c r="G21" s="66" t="str">
        <f t="shared" si="10"/>
        <v>IS</v>
      </c>
      <c r="H21" s="67" t="s">
        <v>126</v>
      </c>
      <c r="I21" s="90" t="s">
        <v>52</v>
      </c>
      <c r="J21" s="69">
        <v>0</v>
      </c>
      <c r="K21" s="70">
        <v>1</v>
      </c>
      <c r="L21" s="82">
        <v>0</v>
      </c>
      <c r="M21" s="71">
        <v>0</v>
      </c>
      <c r="N21" s="72"/>
      <c r="O21" s="72">
        <v>0.03</v>
      </c>
      <c r="P21" s="73">
        <v>0</v>
      </c>
      <c r="Q21" s="71">
        <v>0</v>
      </c>
      <c r="R21" s="71">
        <v>0</v>
      </c>
      <c r="S21" s="71">
        <v>0</v>
      </c>
      <c r="T21" s="72">
        <v>9.7500000000000003E-2</v>
      </c>
      <c r="U21" s="75"/>
      <c r="V21" s="84">
        <f t="shared" si="9"/>
        <v>0.15</v>
      </c>
      <c r="W21" s="15"/>
      <c r="X21" s="15"/>
      <c r="Y21" s="28"/>
      <c r="AA21" s="91">
        <f t="shared" si="1"/>
        <v>0</v>
      </c>
      <c r="AB21" s="70">
        <f t="shared" si="2"/>
        <v>1</v>
      </c>
      <c r="AC21" s="72" t="str">
        <f t="shared" si="3"/>
        <v/>
      </c>
      <c r="AD21" s="72">
        <f t="shared" si="4"/>
        <v>0.03</v>
      </c>
      <c r="AE21" s="72">
        <f t="shared" si="5"/>
        <v>0</v>
      </c>
      <c r="AF21" s="72">
        <f t="shared" si="6"/>
        <v>0</v>
      </c>
      <c r="AG21" s="72">
        <f t="shared" si="7"/>
        <v>9.7500000000000003E-2</v>
      </c>
      <c r="AH21" s="75"/>
      <c r="AI21" s="88">
        <f t="shared" si="8"/>
        <v>0.15</v>
      </c>
      <c r="AJ21" s="26"/>
    </row>
    <row r="22" spans="1:43">
      <c r="B22" s="25"/>
      <c r="C22" s="15"/>
      <c r="D22" s="15"/>
      <c r="E22" s="15"/>
      <c r="F22" s="61"/>
      <c r="G22" s="79" t="str">
        <f t="shared" si="10"/>
        <v>IS</v>
      </c>
      <c r="H22" s="80" t="str">
        <f>H21</f>
        <v>Contr/Govt</v>
      </c>
      <c r="I22" s="92" t="s">
        <v>53</v>
      </c>
      <c r="J22" s="93">
        <v>0</v>
      </c>
      <c r="K22" s="94">
        <f>K21</f>
        <v>1</v>
      </c>
      <c r="L22" s="82">
        <v>0</v>
      </c>
      <c r="M22" s="71">
        <v>0</v>
      </c>
      <c r="N22" s="95"/>
      <c r="O22" s="96">
        <v>0.03</v>
      </c>
      <c r="P22" s="73">
        <v>0</v>
      </c>
      <c r="Q22" s="97">
        <v>0</v>
      </c>
      <c r="R22" s="97">
        <v>0</v>
      </c>
      <c r="S22" s="97">
        <v>0</v>
      </c>
      <c r="T22" s="96">
        <v>9.7500000000000003E-2</v>
      </c>
      <c r="U22" s="98"/>
      <c r="V22" s="99">
        <f t="shared" si="9"/>
        <v>0.15</v>
      </c>
      <c r="W22" s="15"/>
      <c r="X22" s="15"/>
      <c r="Y22" s="28"/>
      <c r="AA22" s="100">
        <f t="shared" si="1"/>
        <v>0</v>
      </c>
      <c r="AB22" s="94">
        <f t="shared" si="2"/>
        <v>1</v>
      </c>
      <c r="AC22" s="95" t="str">
        <f t="shared" si="3"/>
        <v/>
      </c>
      <c r="AD22" s="96">
        <f t="shared" si="4"/>
        <v>0.03</v>
      </c>
      <c r="AE22" s="95">
        <f t="shared" si="5"/>
        <v>0</v>
      </c>
      <c r="AF22" s="95">
        <f t="shared" si="6"/>
        <v>0</v>
      </c>
      <c r="AG22" s="96">
        <f t="shared" si="7"/>
        <v>9.7500000000000003E-2</v>
      </c>
      <c r="AH22" s="98"/>
      <c r="AI22" s="101">
        <f t="shared" si="8"/>
        <v>0.15</v>
      </c>
      <c r="AJ22" s="26"/>
    </row>
    <row r="23" spans="1:43">
      <c r="B23" s="25"/>
      <c r="C23" s="15"/>
      <c r="D23" s="15"/>
      <c r="E23" s="15"/>
      <c r="F23" s="61"/>
      <c r="G23" s="79" t="str">
        <f t="shared" si="10"/>
        <v>IS</v>
      </c>
      <c r="H23" s="80" t="str">
        <f>H22</f>
        <v>Contr/Govt</v>
      </c>
      <c r="I23" s="68" t="s">
        <v>54</v>
      </c>
      <c r="J23" s="102">
        <v>0</v>
      </c>
      <c r="K23" s="103">
        <v>1</v>
      </c>
      <c r="L23" s="82">
        <v>0</v>
      </c>
      <c r="M23" s="71">
        <v>0</v>
      </c>
      <c r="N23" s="104"/>
      <c r="O23" s="104">
        <v>0.03</v>
      </c>
      <c r="P23" s="73">
        <v>0</v>
      </c>
      <c r="Q23" s="105">
        <v>0</v>
      </c>
      <c r="R23" s="105">
        <v>0</v>
      </c>
      <c r="S23" s="105">
        <v>0</v>
      </c>
      <c r="T23" s="104">
        <v>9.7500000000000003E-2</v>
      </c>
      <c r="U23" s="106"/>
      <c r="V23" s="76">
        <v>0.3</v>
      </c>
      <c r="W23" s="15"/>
      <c r="X23" s="15"/>
      <c r="Y23" s="28"/>
      <c r="AA23" s="107">
        <f t="shared" si="1"/>
        <v>0</v>
      </c>
      <c r="AB23" s="103">
        <f t="shared" si="2"/>
        <v>1</v>
      </c>
      <c r="AC23" s="104" t="str">
        <f t="shared" si="3"/>
        <v/>
      </c>
      <c r="AD23" s="104">
        <f t="shared" si="4"/>
        <v>0.03</v>
      </c>
      <c r="AE23" s="104">
        <f t="shared" si="5"/>
        <v>0</v>
      </c>
      <c r="AF23" s="104">
        <f t="shared" si="6"/>
        <v>0</v>
      </c>
      <c r="AG23" s="104">
        <f t="shared" si="7"/>
        <v>9.7500000000000003E-2</v>
      </c>
      <c r="AH23" s="106"/>
      <c r="AI23" s="108">
        <f t="shared" si="8"/>
        <v>0.3</v>
      </c>
      <c r="AJ23" s="26"/>
    </row>
    <row r="24" spans="1:43">
      <c r="B24" s="25"/>
      <c r="C24" s="15"/>
      <c r="D24" s="15"/>
      <c r="E24" s="15"/>
      <c r="F24" s="61"/>
      <c r="G24" s="109" t="str">
        <f t="shared" si="10"/>
        <v>IS</v>
      </c>
      <c r="H24" s="110" t="str">
        <f>H23</f>
        <v>Contr/Govt</v>
      </c>
      <c r="I24" s="111" t="s">
        <v>55</v>
      </c>
      <c r="J24" s="112">
        <v>0</v>
      </c>
      <c r="K24" s="113">
        <v>1</v>
      </c>
      <c r="L24" s="82">
        <v>0</v>
      </c>
      <c r="M24" s="71">
        <v>0</v>
      </c>
      <c r="N24" s="114"/>
      <c r="O24" s="115">
        <f>IF(OR($G$24="MBI - FT",$G$24="MBI - PT"),O23,0)</f>
        <v>0</v>
      </c>
      <c r="P24" s="73">
        <v>0</v>
      </c>
      <c r="Q24" s="116">
        <v>0</v>
      </c>
      <c r="R24" s="116">
        <v>0</v>
      </c>
      <c r="S24" s="116">
        <v>0</v>
      </c>
      <c r="T24" s="115">
        <v>9.7500000000000003E-2</v>
      </c>
      <c r="U24" s="117"/>
      <c r="V24" s="118">
        <v>0.08</v>
      </c>
      <c r="W24" s="15"/>
      <c r="X24" s="15"/>
      <c r="Y24" s="28"/>
      <c r="AA24" s="119">
        <f t="shared" si="1"/>
        <v>0</v>
      </c>
      <c r="AB24" s="113">
        <f t="shared" si="2"/>
        <v>1</v>
      </c>
      <c r="AC24" s="114" t="str">
        <f t="shared" si="3"/>
        <v/>
      </c>
      <c r="AD24" s="115">
        <f t="shared" si="4"/>
        <v>0</v>
      </c>
      <c r="AE24" s="114">
        <f t="shared" si="5"/>
        <v>0</v>
      </c>
      <c r="AF24" s="114">
        <f t="shared" si="6"/>
        <v>0</v>
      </c>
      <c r="AG24" s="115">
        <f t="shared" si="7"/>
        <v>9.7500000000000003E-2</v>
      </c>
      <c r="AH24" s="117"/>
      <c r="AI24" s="120">
        <f t="shared" si="8"/>
        <v>0.08</v>
      </c>
      <c r="AJ24" s="26"/>
    </row>
    <row r="25" spans="1:43">
      <c r="B25" s="25"/>
      <c r="C25" s="15"/>
      <c r="D25" s="15"/>
      <c r="E25" s="15"/>
      <c r="F25" s="15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5"/>
      <c r="X25" s="15"/>
      <c r="Y25" s="28"/>
      <c r="AB25" s="15"/>
      <c r="AC25" s="15"/>
      <c r="AD25" s="15"/>
      <c r="AE25" s="15"/>
      <c r="AF25" s="15"/>
      <c r="AG25" s="15"/>
      <c r="AH25" s="15"/>
      <c r="AI25" s="15"/>
      <c r="AJ25" s="15"/>
      <c r="AP25" s="122"/>
      <c r="AQ25" s="122"/>
    </row>
    <row r="26" spans="1:43" outlineLevel="1">
      <c r="B26" s="25"/>
      <c r="C26" s="15"/>
      <c r="D26" s="15"/>
      <c r="E26" s="15"/>
      <c r="F26" s="15"/>
      <c r="G26" s="15"/>
      <c r="H26" s="15"/>
      <c r="I26" s="15"/>
      <c r="J26" s="123"/>
      <c r="K26" s="124" t="str">
        <f>J$28&amp;"*"&amp;K$5</f>
        <v>A*B%</v>
      </c>
      <c r="L26" s="124"/>
      <c r="M26" s="124"/>
      <c r="N26" s="124" t="str">
        <f>K$28&amp;"*"&amp;N$5</f>
        <v>B*C%</v>
      </c>
      <c r="O26" s="124" t="str">
        <f>"("&amp;K28&amp;"+"&amp;N$28&amp;")"&amp;"*"&amp;O$5</f>
        <v>(B+C)*D%</v>
      </c>
      <c r="P26" s="124"/>
      <c r="Q26" s="124"/>
      <c r="R26" s="124"/>
      <c r="S26" s="124"/>
      <c r="T26" s="124" t="str">
        <f>"("&amp;K28&amp;"+"&amp;N28&amp;"+"&amp;O$28&amp;")"&amp;"*"&amp;T$5</f>
        <v>(B+C+D)*E%</v>
      </c>
      <c r="U26" s="124" t="s">
        <v>56</v>
      </c>
      <c r="V26" s="124" t="str">
        <f>"("&amp;K28&amp;"+"&amp;N28&amp;"+"&amp;O$28&amp;"+"&amp;T$28&amp;")"&amp;"*"&amp;V$5</f>
        <v>(B+C+D+E)*G%</v>
      </c>
      <c r="W26" s="15"/>
      <c r="X26" s="15"/>
      <c r="Y26" s="28"/>
    </row>
    <row r="27" spans="1:43" ht="8.25" customHeight="1" outlineLevel="1">
      <c r="B27" s="25"/>
      <c r="C27" s="15"/>
      <c r="D27" s="15"/>
      <c r="E27" s="15"/>
      <c r="F27" s="15"/>
      <c r="G27" s="15"/>
      <c r="H27" s="15"/>
      <c r="I27" s="15"/>
      <c r="J27" s="125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5"/>
      <c r="X27" s="15"/>
      <c r="Y27" s="28"/>
    </row>
    <row r="28" spans="1:43" outlineLevel="1">
      <c r="B28" s="25"/>
      <c r="C28" s="15"/>
      <c r="D28" s="15"/>
      <c r="E28" s="15"/>
      <c r="F28" s="15"/>
      <c r="G28" s="15"/>
      <c r="H28" s="15"/>
      <c r="I28" s="15"/>
      <c r="J28" s="42" t="s">
        <v>57</v>
      </c>
      <c r="K28" s="42" t="s">
        <v>58</v>
      </c>
      <c r="L28" s="42"/>
      <c r="M28" s="42"/>
      <c r="N28" s="42" t="s">
        <v>59</v>
      </c>
      <c r="O28" s="42" t="s">
        <v>60</v>
      </c>
      <c r="P28" s="42"/>
      <c r="Q28" s="42"/>
      <c r="R28" s="42"/>
      <c r="S28" s="42"/>
      <c r="T28" s="42" t="s">
        <v>61</v>
      </c>
      <c r="U28" s="42" t="s">
        <v>62</v>
      </c>
      <c r="V28" s="42" t="s">
        <v>63</v>
      </c>
      <c r="W28" s="15"/>
      <c r="X28" s="15"/>
      <c r="Y28" s="28"/>
    </row>
    <row r="29" spans="1:43">
      <c r="B29" s="2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27">
        <f ca="1">SUM(K32:M32)+S32+T32</f>
        <v>46.597804218749999</v>
      </c>
      <c r="R29" s="127">
        <f ca="1">Q29*0.033</f>
        <v>1.5377275392187502</v>
      </c>
      <c r="S29" s="15"/>
      <c r="T29" s="15"/>
      <c r="U29" s="128"/>
      <c r="V29" s="15"/>
      <c r="W29" s="15"/>
      <c r="X29" s="15"/>
      <c r="Y29" s="28"/>
      <c r="AA29" s="23">
        <f>260/8</f>
        <v>32.5</v>
      </c>
      <c r="AG29" s="129"/>
      <c r="AH29" s="129"/>
      <c r="AI29" s="129"/>
      <c r="AJ29" s="129"/>
      <c r="AK29" s="49"/>
      <c r="AL29" s="129"/>
      <c r="AM29" s="49"/>
      <c r="AP29" s="122" t="s">
        <v>64</v>
      </c>
      <c r="AQ29" s="122" t="s">
        <v>65</v>
      </c>
    </row>
    <row r="30" spans="1:43" ht="13.5" thickBot="1">
      <c r="B30" s="130" t="s">
        <v>66</v>
      </c>
      <c r="C30" s="131"/>
      <c r="D30" s="131" t="s">
        <v>67</v>
      </c>
      <c r="E30" s="15"/>
      <c r="F30" s="131" t="s">
        <v>68</v>
      </c>
      <c r="G30" s="44" t="s">
        <v>69</v>
      </c>
      <c r="H30" s="44" t="s">
        <v>69</v>
      </c>
      <c r="I30" s="131" t="str">
        <f>I8</f>
        <v>Burden Code</v>
      </c>
      <c r="J30" s="49" t="s">
        <v>70</v>
      </c>
      <c r="K30" s="49" t="s">
        <v>71</v>
      </c>
      <c r="L30" s="49" t="s">
        <v>28</v>
      </c>
      <c r="M30" s="49" t="s">
        <v>29</v>
      </c>
      <c r="N30" s="49" t="str">
        <f t="shared" ref="N30:V30" si="11">N8</f>
        <v>PRB</v>
      </c>
      <c r="O30" s="49" t="str">
        <f t="shared" si="11"/>
        <v>Overhead</v>
      </c>
      <c r="P30" s="49" t="str">
        <f t="shared" si="11"/>
        <v>Per Diem</v>
      </c>
      <c r="Q30" s="49" t="str">
        <f t="shared" si="11"/>
        <v>DBA</v>
      </c>
      <c r="R30" s="49" t="str">
        <f t="shared" si="11"/>
        <v>War Risk</v>
      </c>
      <c r="S30" s="49" t="str">
        <f t="shared" si="11"/>
        <v>Bonus</v>
      </c>
      <c r="T30" s="49" t="str">
        <f t="shared" si="11"/>
        <v>G&amp;A</v>
      </c>
      <c r="U30" s="49" t="str">
        <f t="shared" si="11"/>
        <v>Cost</v>
      </c>
      <c r="V30" s="49" t="str">
        <f t="shared" si="11"/>
        <v>Profit / Fee</v>
      </c>
      <c r="W30" s="49" t="s">
        <v>72</v>
      </c>
      <c r="X30" s="49" t="s">
        <v>73</v>
      </c>
      <c r="Y30" s="132" t="s">
        <v>74</v>
      </c>
      <c r="Z30" s="133"/>
      <c r="AB30" s="129" t="s">
        <v>75</v>
      </c>
      <c r="AC30" s="129" t="str">
        <f>N30</f>
        <v>PRB</v>
      </c>
      <c r="AD30" s="129" t="str">
        <f>O30</f>
        <v>Overhead</v>
      </c>
      <c r="AE30" s="129" t="str">
        <f>R30</f>
        <v>War Risk</v>
      </c>
      <c r="AF30" s="129" t="str">
        <f>S30</f>
        <v>Bonus</v>
      </c>
      <c r="AG30" s="129" t="str">
        <f>T30</f>
        <v>G&amp;A</v>
      </c>
      <c r="AH30" s="129" t="s">
        <v>37</v>
      </c>
      <c r="AI30" s="129" t="str">
        <f>V30</f>
        <v>Profit / Fee</v>
      </c>
      <c r="AJ30" s="129" t="s">
        <v>76</v>
      </c>
      <c r="AK30" s="49"/>
      <c r="AL30" s="129" t="s">
        <v>77</v>
      </c>
      <c r="AM30" s="49"/>
      <c r="AP30" s="29">
        <v>1</v>
      </c>
      <c r="AQ30" s="29">
        <v>1</v>
      </c>
    </row>
    <row r="31" spans="1:43" s="134" customFormat="1" ht="16.5" thickBot="1">
      <c r="B31" s="135" t="s">
        <v>75</v>
      </c>
      <c r="C31" s="136"/>
      <c r="D31" s="136"/>
      <c r="E31" s="137"/>
      <c r="F31" s="136"/>
      <c r="G31" s="138"/>
      <c r="H31" s="138"/>
      <c r="I31" s="136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40"/>
      <c r="Z31" s="139"/>
      <c r="AA31" s="137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2"/>
      <c r="AP31" s="29">
        <v>1</v>
      </c>
      <c r="AQ31" s="29">
        <v>1</v>
      </c>
    </row>
    <row r="32" spans="1:43">
      <c r="A32" s="15">
        <v>1</v>
      </c>
      <c r="B32" s="143" t="s">
        <v>104</v>
      </c>
      <c r="C32" s="15"/>
      <c r="D32" s="144" t="s">
        <v>78</v>
      </c>
      <c r="E32" s="15"/>
      <c r="F32" s="145" t="s">
        <v>121</v>
      </c>
      <c r="G32" s="146" t="str">
        <f t="shared" ref="G32:G52" si="12">D32&amp;A32&amp;F32&amp;I32</f>
        <v>ManTech1Schoenfelt,Stephen E.Contr</v>
      </c>
      <c r="H32" s="146"/>
      <c r="I32" s="144" t="s">
        <v>44</v>
      </c>
      <c r="J32" s="127">
        <v>40.619999999999997</v>
      </c>
      <c r="K32" s="127">
        <f t="shared" ref="K32:K52" ca="1" si="13">ROUND($J32*(VLOOKUP($I32,$I$9:$V$24,K$6,FALSE)),2)</f>
        <v>40.619999999999997</v>
      </c>
      <c r="L32" s="127">
        <f t="shared" ref="L32:M38" ca="1" si="14">$K32*(VLOOKUP($I32,$I$9:$X$24,L$6,FALSE))</f>
        <v>0</v>
      </c>
      <c r="M32" s="127">
        <f t="shared" ca="1" si="14"/>
        <v>0</v>
      </c>
      <c r="N32" s="127">
        <f t="shared" ref="N32:N38" ca="1" si="15">($K32+L32+M32)*(VLOOKUP($I32,$I$9:$Y$24,N$6,FALSE))</f>
        <v>12.69375</v>
      </c>
      <c r="O32" s="127">
        <f t="shared" ref="O32:O38" ca="1" si="16">(SUM(K32,L32,M32,N32))*(VLOOKUP($I32,$I$9:$V$24,O$6,FALSE))</f>
        <v>7.9970624999999993</v>
      </c>
      <c r="P32" s="127">
        <f t="shared" ref="P32:P38" ca="1" si="17">VLOOKUP(I32,$I$9:$W$24,$P$6,FALSE)</f>
        <v>0</v>
      </c>
      <c r="Q32" s="127">
        <f t="shared" ref="Q32:Q38" ca="1" si="18">(K32+L32+M32)*(VLOOKUP($I32,$I$9:$W$24,Q$6,FALSE))</f>
        <v>0</v>
      </c>
      <c r="R32" s="127">
        <f t="shared" ref="R32:S38" ca="1" si="19">VLOOKUP($I32,$I$9:$W$24,R$6,FALSE)</f>
        <v>0</v>
      </c>
      <c r="S32" s="127">
        <f t="shared" ca="1" si="19"/>
        <v>0</v>
      </c>
      <c r="T32" s="127">
        <f t="shared" ref="T32:T52" ca="1" si="20">IF($D32="ManTech",(SUM($K32:$R32)*(VLOOKUP($I32,$I$9:$V$24,T$6,FALSE))),(IF(O32=0,((SUM(K32,R32:S32))*(VLOOKUP($I32,$I$9:$V$24,T$6,FALSE))),(SUM($O32:$S32)*(VLOOKUP($I32,$I$9:$V$24,T$6,FALSE))))))</f>
        <v>5.9778042187500002</v>
      </c>
      <c r="U32" s="127">
        <f t="shared" ref="U32:U52" ca="1" si="21">SUM(K32:T32)</f>
        <v>67.288616718749992</v>
      </c>
      <c r="V32" s="127">
        <f t="shared" ref="V32:V52" ca="1" si="22">(U32*(VLOOKUP($I32,$I$9:$V$24,V$6,FALSE)))</f>
        <v>10.093292507812498</v>
      </c>
      <c r="W32" s="127">
        <f t="shared" ref="W32:W52" ca="1" si="23">ROUND(SUM(U32:V32),2)</f>
        <v>77.38</v>
      </c>
      <c r="X32" s="147">
        <v>216</v>
      </c>
      <c r="Y32" s="148">
        <f ca="1">$W32*$X32</f>
        <v>16714.079999999998</v>
      </c>
      <c r="Z32" s="23" t="s">
        <v>152</v>
      </c>
      <c r="AB32" s="149">
        <f t="shared" ref="AB32:AB52" ca="1" si="24">K32*$X32</f>
        <v>8773.92</v>
      </c>
      <c r="AC32" s="149">
        <f t="shared" ref="AC32:AC52" ca="1" si="25">N32*$X32</f>
        <v>2741.85</v>
      </c>
      <c r="AD32" s="149">
        <f t="shared" ref="AD32:AD52" ca="1" si="26">O32*$X32</f>
        <v>1727.3654999999999</v>
      </c>
      <c r="AE32" s="149">
        <f t="shared" ref="AE32:AE52" ca="1" si="27">R32*$X32</f>
        <v>0</v>
      </c>
      <c r="AF32" s="149">
        <f t="shared" ref="AF32:AF52" ca="1" si="28">S32*$X32</f>
        <v>0</v>
      </c>
      <c r="AG32" s="149">
        <f t="shared" ref="AG32:AG52" ca="1" si="29">T32*$X32</f>
        <v>1291.2057112500001</v>
      </c>
      <c r="AH32" s="149">
        <f t="shared" ref="AH32:AH52" ca="1" si="30">SUM(AB32:AG32)</f>
        <v>14534.341211250001</v>
      </c>
      <c r="AI32" s="149">
        <f t="shared" ref="AI32:AI52" ca="1" si="31">V32*$X32</f>
        <v>2180.1511816874995</v>
      </c>
      <c r="AJ32" s="149">
        <f t="shared" ref="AJ32:AJ52" ca="1" si="32">SUM(AH32:AI32)</f>
        <v>16714.4923929375</v>
      </c>
      <c r="AK32" s="150"/>
      <c r="AL32" s="151">
        <f t="shared" ref="AL32:AL52" ca="1" si="33">AJ32-Y32</f>
        <v>0.41239293750186334</v>
      </c>
      <c r="AM32" s="152"/>
      <c r="AP32" s="29" t="str">
        <f t="shared" ref="AP32:AP64" ca="1" si="34">IF((OR((W32=""),(W32&gt;0))),"1","0")</f>
        <v>1</v>
      </c>
      <c r="AQ32" s="29" t="str">
        <f t="shared" ref="AQ32:AQ64" ca="1" si="35">IF((OR((Y32=""),(Y32&gt;0))),"1","0")</f>
        <v>1</v>
      </c>
    </row>
    <row r="33" spans="1:43">
      <c r="A33" s="15">
        <v>1</v>
      </c>
      <c r="B33" s="143" t="s">
        <v>104</v>
      </c>
      <c r="C33" s="15"/>
      <c r="D33" s="144" t="s">
        <v>78</v>
      </c>
      <c r="E33" s="15"/>
      <c r="F33" s="145" t="s">
        <v>121</v>
      </c>
      <c r="G33" s="146" t="str">
        <f>D33&amp;A33&amp;F33&amp;I33</f>
        <v>ManTech1Schoenfelt,Stephen E.Contr</v>
      </c>
      <c r="H33" s="146"/>
      <c r="I33" s="144" t="s">
        <v>44</v>
      </c>
      <c r="J33" s="127">
        <v>40.619999999999997</v>
      </c>
      <c r="K33" s="127">
        <f t="shared" ca="1" si="13"/>
        <v>40.619999999999997</v>
      </c>
      <c r="L33" s="127">
        <f t="shared" ca="1" si="14"/>
        <v>0</v>
      </c>
      <c r="M33" s="127">
        <f t="shared" ca="1" si="14"/>
        <v>0</v>
      </c>
      <c r="N33" s="127">
        <f ca="1">($K33+L33+M33)*(VLOOKUP($I33,$I$9:$Y$24,N$6,FALSE))</f>
        <v>12.69375</v>
      </c>
      <c r="O33" s="127">
        <f ca="1">(SUM(K33,L33,M33,N33))*(VLOOKUP($I33,$I$9:$V$24,O$6,FALSE))</f>
        <v>7.9970624999999993</v>
      </c>
      <c r="P33" s="127">
        <f ca="1">VLOOKUP(I33,$I$9:$W$24,$P$6,FALSE)</f>
        <v>0</v>
      </c>
      <c r="Q33" s="127">
        <f ca="1">(K33+L33+M33)*(VLOOKUP($I33,$I$9:$W$24,Q$6,FALSE))</f>
        <v>0</v>
      </c>
      <c r="R33" s="127">
        <f t="shared" ca="1" si="19"/>
        <v>0</v>
      </c>
      <c r="S33" s="127">
        <f t="shared" ca="1" si="19"/>
        <v>0</v>
      </c>
      <c r="T33" s="127">
        <f ca="1">IF($D33="ManTech",(SUM($K33:$R33)*(VLOOKUP($I33,$I$9:$V$24,T$6,FALSE))),(IF(O33=0,((SUM(K33,R33:S33))*(VLOOKUP($I33,$I$9:$V$24,T$6,FALSE))),(SUM($O33:$S33)*(VLOOKUP($I33,$I$9:$V$24,T$6,FALSE))))))</f>
        <v>5.9778042187500002</v>
      </c>
      <c r="U33" s="127">
        <f ca="1">SUM(K33:T33)</f>
        <v>67.288616718749992</v>
      </c>
      <c r="V33" s="127">
        <f ca="1">(U33*(VLOOKUP($I33,$I$9:$V$24,V$6,FALSE)))</f>
        <v>10.093292507812498</v>
      </c>
      <c r="W33" s="127">
        <f ca="1">ROUND(SUM(U33:V33),2)</f>
        <v>77.38</v>
      </c>
      <c r="X33" s="147">
        <v>120</v>
      </c>
      <c r="Y33" s="148">
        <f ca="1">$W33*$X33</f>
        <v>9285.5999999999985</v>
      </c>
      <c r="Z33" s="23" t="s">
        <v>154</v>
      </c>
      <c r="AB33" s="149">
        <f ca="1">K33*$X33</f>
        <v>4874.3999999999996</v>
      </c>
      <c r="AC33" s="149">
        <f ca="1">N33*$X33</f>
        <v>1523.25</v>
      </c>
      <c r="AD33" s="149">
        <f ca="1">O33*$X33</f>
        <v>959.64749999999992</v>
      </c>
      <c r="AE33" s="149">
        <f ca="1">R33*$X33</f>
        <v>0</v>
      </c>
      <c r="AF33" s="149">
        <f ca="1">S33*$X33</f>
        <v>0</v>
      </c>
      <c r="AG33" s="149">
        <f ca="1">T33*$X33</f>
        <v>717.33650625000007</v>
      </c>
      <c r="AH33" s="149">
        <f ca="1">SUM(AB33:AG33)</f>
        <v>8074.6340062499994</v>
      </c>
      <c r="AI33" s="149">
        <f ca="1">V33*$X33</f>
        <v>1211.1951009374998</v>
      </c>
      <c r="AJ33" s="149">
        <f ca="1">SUM(AH33:AI33)</f>
        <v>9285.8291071874992</v>
      </c>
      <c r="AK33" s="150"/>
      <c r="AL33" s="151">
        <f ca="1">AJ33-Y33</f>
        <v>0.22910718750063097</v>
      </c>
      <c r="AM33" s="152"/>
      <c r="AP33" s="29" t="str">
        <f ca="1">IF((OR((W33=""),(W33&gt;0))),"1","0")</f>
        <v>1</v>
      </c>
      <c r="AQ33" s="29" t="str">
        <f ca="1">IF((OR((Y33=""),(Y33&gt;0))),"1","0")</f>
        <v>1</v>
      </c>
    </row>
    <row r="34" spans="1:43">
      <c r="A34" s="15">
        <f>A32+1</f>
        <v>2</v>
      </c>
      <c r="B34" s="143" t="s">
        <v>104</v>
      </c>
      <c r="C34" s="15"/>
      <c r="D34" s="144" t="s">
        <v>78</v>
      </c>
      <c r="E34" s="15"/>
      <c r="F34" s="145" t="s">
        <v>121</v>
      </c>
      <c r="G34" s="146" t="str">
        <f t="shared" si="12"/>
        <v>ManTech2Schoenfelt,Stephen E.Contr-Afghan</v>
      </c>
      <c r="H34" s="146"/>
      <c r="I34" s="144" t="s">
        <v>40</v>
      </c>
      <c r="J34" s="127">
        <v>40.619999999999997</v>
      </c>
      <c r="K34" s="127">
        <f t="shared" ca="1" si="13"/>
        <v>40.619999999999997</v>
      </c>
      <c r="L34" s="127">
        <f t="shared" ca="1" si="14"/>
        <v>14.216999999999999</v>
      </c>
      <c r="M34" s="127">
        <f t="shared" ca="1" si="14"/>
        <v>14.216999999999999</v>
      </c>
      <c r="N34" s="127">
        <f t="shared" ca="1" si="15"/>
        <v>21.579374999999999</v>
      </c>
      <c r="O34" s="127">
        <f t="shared" ca="1" si="16"/>
        <v>13.595006249999999</v>
      </c>
      <c r="P34" s="127">
        <f t="shared" ca="1" si="17"/>
        <v>0</v>
      </c>
      <c r="Q34" s="127">
        <f t="shared" ca="1" si="18"/>
        <v>2.6931060000000002</v>
      </c>
      <c r="R34" s="127">
        <f t="shared" ca="1" si="19"/>
        <v>0.2344230769230769</v>
      </c>
      <c r="S34" s="127">
        <f t="shared" ca="1" si="19"/>
        <v>0</v>
      </c>
      <c r="T34" s="127">
        <f t="shared" ca="1" si="20"/>
        <v>10.447701256875</v>
      </c>
      <c r="U34" s="127">
        <f t="shared" ca="1" si="21"/>
        <v>117.60361158379808</v>
      </c>
      <c r="V34" s="127">
        <f t="shared" ca="1" si="22"/>
        <v>17.640541737569713</v>
      </c>
      <c r="W34" s="127">
        <f t="shared" ca="1" si="23"/>
        <v>135.24</v>
      </c>
      <c r="X34" s="147">
        <v>552</v>
      </c>
      <c r="Y34" s="148">
        <f ca="1">$W34*$X34</f>
        <v>74652.48000000001</v>
      </c>
      <c r="Z34" s="23" t="s">
        <v>151</v>
      </c>
      <c r="AB34" s="149">
        <f t="shared" ca="1" si="24"/>
        <v>22422.239999999998</v>
      </c>
      <c r="AC34" s="149">
        <f t="shared" ca="1" si="25"/>
        <v>11911.814999999999</v>
      </c>
      <c r="AD34" s="149">
        <f t="shared" ca="1" si="26"/>
        <v>7504.4434499999998</v>
      </c>
      <c r="AE34" s="149">
        <f t="shared" ca="1" si="27"/>
        <v>129.40153846153845</v>
      </c>
      <c r="AF34" s="149">
        <f t="shared" ca="1" si="28"/>
        <v>0</v>
      </c>
      <c r="AG34" s="149">
        <f t="shared" ca="1" si="29"/>
        <v>5767.1310937950002</v>
      </c>
      <c r="AH34" s="149">
        <f t="shared" ca="1" si="30"/>
        <v>47735.031082256537</v>
      </c>
      <c r="AI34" s="149">
        <f t="shared" ca="1" si="31"/>
        <v>9737.5790391384817</v>
      </c>
      <c r="AJ34" s="149">
        <f t="shared" ca="1" si="32"/>
        <v>57472.610121395017</v>
      </c>
      <c r="AK34" s="150"/>
      <c r="AL34" s="151">
        <f t="shared" ca="1" si="33"/>
        <v>-17179.869878604994</v>
      </c>
      <c r="AM34" s="152"/>
      <c r="AP34" s="29" t="str">
        <f t="shared" ca="1" si="34"/>
        <v>1</v>
      </c>
      <c r="AQ34" s="29" t="str">
        <f t="shared" ca="1" si="35"/>
        <v>1</v>
      </c>
    </row>
    <row r="35" spans="1:43">
      <c r="A35" s="15">
        <f t="shared" ref="A35:A52" si="36">A34+1</f>
        <v>3</v>
      </c>
      <c r="B35" s="143" t="s">
        <v>105</v>
      </c>
      <c r="C35" s="15"/>
      <c r="D35" s="144" t="s">
        <v>78</v>
      </c>
      <c r="E35" s="15"/>
      <c r="F35" s="145" t="s">
        <v>121</v>
      </c>
      <c r="G35" s="146" t="str">
        <f t="shared" si="12"/>
        <v>ManTech3Schoenfelt,Stephen E.Contr</v>
      </c>
      <c r="H35" s="146"/>
      <c r="I35" s="144" t="s">
        <v>44</v>
      </c>
      <c r="J35" s="127"/>
      <c r="K35" s="127">
        <f t="shared" ca="1" si="13"/>
        <v>0</v>
      </c>
      <c r="L35" s="127">
        <f t="shared" ca="1" si="14"/>
        <v>0</v>
      </c>
      <c r="M35" s="127">
        <f t="shared" ca="1" si="14"/>
        <v>0</v>
      </c>
      <c r="N35" s="127">
        <f t="shared" ca="1" si="15"/>
        <v>0</v>
      </c>
      <c r="O35" s="127">
        <f t="shared" ca="1" si="16"/>
        <v>0</v>
      </c>
      <c r="P35" s="127">
        <f t="shared" ca="1" si="17"/>
        <v>0</v>
      </c>
      <c r="Q35" s="127">
        <f t="shared" ca="1" si="18"/>
        <v>0</v>
      </c>
      <c r="R35" s="127">
        <f t="shared" ca="1" si="19"/>
        <v>0</v>
      </c>
      <c r="S35" s="127">
        <f t="shared" ca="1" si="19"/>
        <v>0</v>
      </c>
      <c r="T35" s="127">
        <f t="shared" ca="1" si="20"/>
        <v>0</v>
      </c>
      <c r="U35" s="127">
        <f t="shared" ca="1" si="21"/>
        <v>0</v>
      </c>
      <c r="V35" s="127">
        <f t="shared" ca="1" si="22"/>
        <v>0</v>
      </c>
      <c r="W35" s="127">
        <f t="shared" ca="1" si="23"/>
        <v>0</v>
      </c>
      <c r="X35" s="147"/>
      <c r="Y35" s="148"/>
      <c r="AB35" s="149">
        <f t="shared" ca="1" si="24"/>
        <v>0</v>
      </c>
      <c r="AC35" s="149">
        <f t="shared" ca="1" si="25"/>
        <v>0</v>
      </c>
      <c r="AD35" s="149">
        <f t="shared" ca="1" si="26"/>
        <v>0</v>
      </c>
      <c r="AE35" s="149">
        <f t="shared" ca="1" si="27"/>
        <v>0</v>
      </c>
      <c r="AF35" s="149">
        <f t="shared" ca="1" si="28"/>
        <v>0</v>
      </c>
      <c r="AG35" s="149">
        <f t="shared" ca="1" si="29"/>
        <v>0</v>
      </c>
      <c r="AH35" s="149">
        <f t="shared" ca="1" si="30"/>
        <v>0</v>
      </c>
      <c r="AI35" s="149">
        <f t="shared" ca="1" si="31"/>
        <v>0</v>
      </c>
      <c r="AJ35" s="149">
        <f t="shared" ca="1" si="32"/>
        <v>0</v>
      </c>
      <c r="AK35" s="150"/>
      <c r="AL35" s="151">
        <f t="shared" ca="1" si="33"/>
        <v>0</v>
      </c>
      <c r="AM35" s="152"/>
      <c r="AP35" s="29" t="str">
        <f t="shared" ca="1" si="34"/>
        <v>0</v>
      </c>
      <c r="AQ35" s="29" t="str">
        <f t="shared" si="35"/>
        <v>1</v>
      </c>
    </row>
    <row r="36" spans="1:43">
      <c r="A36" s="15">
        <f t="shared" si="36"/>
        <v>4</v>
      </c>
      <c r="B36" s="143" t="s">
        <v>150</v>
      </c>
      <c r="C36" s="15"/>
      <c r="D36" s="144" t="s">
        <v>78</v>
      </c>
      <c r="E36" s="15"/>
      <c r="F36" s="145" t="s">
        <v>150</v>
      </c>
      <c r="G36" s="146" t="str">
        <f t="shared" si="12"/>
        <v>ManTech4 Contr</v>
      </c>
      <c r="H36" s="146"/>
      <c r="I36" s="144" t="s">
        <v>44</v>
      </c>
      <c r="J36" s="127">
        <v>0</v>
      </c>
      <c r="K36" s="127">
        <f t="shared" ca="1" si="13"/>
        <v>0</v>
      </c>
      <c r="L36" s="127">
        <f t="shared" ca="1" si="14"/>
        <v>0</v>
      </c>
      <c r="M36" s="127">
        <f t="shared" ca="1" si="14"/>
        <v>0</v>
      </c>
      <c r="N36" s="127">
        <f t="shared" ca="1" si="15"/>
        <v>0</v>
      </c>
      <c r="O36" s="127">
        <f t="shared" ca="1" si="16"/>
        <v>0</v>
      </c>
      <c r="P36" s="127">
        <f t="shared" ca="1" si="17"/>
        <v>0</v>
      </c>
      <c r="Q36" s="127">
        <f t="shared" ca="1" si="18"/>
        <v>0</v>
      </c>
      <c r="R36" s="127">
        <f t="shared" ca="1" si="19"/>
        <v>0</v>
      </c>
      <c r="S36" s="127">
        <f t="shared" ca="1" si="19"/>
        <v>0</v>
      </c>
      <c r="T36" s="127">
        <f t="shared" ca="1" si="20"/>
        <v>0</v>
      </c>
      <c r="U36" s="127">
        <f t="shared" ca="1" si="21"/>
        <v>0</v>
      </c>
      <c r="V36" s="127">
        <f t="shared" ca="1" si="22"/>
        <v>0</v>
      </c>
      <c r="W36" s="127">
        <f t="shared" ca="1" si="23"/>
        <v>0</v>
      </c>
      <c r="X36" s="147">
        <v>0</v>
      </c>
      <c r="Y36" s="148">
        <f t="shared" ref="Y36:Y52" ca="1" si="37">$W36*$X36</f>
        <v>0</v>
      </c>
      <c r="Z36" s="23" t="s">
        <v>152</v>
      </c>
      <c r="AB36" s="149">
        <f t="shared" ca="1" si="24"/>
        <v>0</v>
      </c>
      <c r="AC36" s="149">
        <f t="shared" ca="1" si="25"/>
        <v>0</v>
      </c>
      <c r="AD36" s="149">
        <f t="shared" ca="1" si="26"/>
        <v>0</v>
      </c>
      <c r="AE36" s="149">
        <f t="shared" ca="1" si="27"/>
        <v>0</v>
      </c>
      <c r="AF36" s="149">
        <f t="shared" ca="1" si="28"/>
        <v>0</v>
      </c>
      <c r="AG36" s="149">
        <f t="shared" ca="1" si="29"/>
        <v>0</v>
      </c>
      <c r="AH36" s="149">
        <f t="shared" ca="1" si="30"/>
        <v>0</v>
      </c>
      <c r="AI36" s="149">
        <f t="shared" ca="1" si="31"/>
        <v>0</v>
      </c>
      <c r="AJ36" s="149">
        <f t="shared" ca="1" si="32"/>
        <v>0</v>
      </c>
      <c r="AK36" s="150"/>
      <c r="AL36" s="151">
        <f t="shared" ca="1" si="33"/>
        <v>0</v>
      </c>
      <c r="AM36" s="152"/>
      <c r="AP36" s="29" t="str">
        <f t="shared" ca="1" si="34"/>
        <v>0</v>
      </c>
      <c r="AQ36" s="29" t="str">
        <f t="shared" ca="1" si="35"/>
        <v>0</v>
      </c>
    </row>
    <row r="37" spans="1:43">
      <c r="A37" s="15">
        <f t="shared" si="36"/>
        <v>5</v>
      </c>
      <c r="B37" s="143" t="s">
        <v>150</v>
      </c>
      <c r="C37" s="15"/>
      <c r="D37" s="144" t="s">
        <v>78</v>
      </c>
      <c r="E37" s="15"/>
      <c r="F37" s="145" t="s">
        <v>150</v>
      </c>
      <c r="G37" s="146" t="str">
        <f t="shared" si="12"/>
        <v>ManTech5 Contr-Afghan</v>
      </c>
      <c r="H37" s="146"/>
      <c r="I37" s="144" t="s">
        <v>40</v>
      </c>
      <c r="J37" s="127">
        <v>0</v>
      </c>
      <c r="K37" s="127">
        <f t="shared" ca="1" si="13"/>
        <v>0</v>
      </c>
      <c r="L37" s="127">
        <f t="shared" ca="1" si="14"/>
        <v>0</v>
      </c>
      <c r="M37" s="127">
        <f t="shared" ca="1" si="14"/>
        <v>0</v>
      </c>
      <c r="N37" s="127">
        <f t="shared" ca="1" si="15"/>
        <v>0</v>
      </c>
      <c r="O37" s="127">
        <f t="shared" ca="1" si="16"/>
        <v>0</v>
      </c>
      <c r="P37" s="127">
        <f t="shared" ca="1" si="17"/>
        <v>0</v>
      </c>
      <c r="Q37" s="127">
        <f t="shared" ca="1" si="18"/>
        <v>0</v>
      </c>
      <c r="R37" s="127">
        <v>0</v>
      </c>
      <c r="S37" s="127">
        <f t="shared" ca="1" si="19"/>
        <v>0</v>
      </c>
      <c r="T37" s="127">
        <f t="shared" ca="1" si="20"/>
        <v>0</v>
      </c>
      <c r="U37" s="127">
        <f t="shared" ca="1" si="21"/>
        <v>0</v>
      </c>
      <c r="V37" s="127">
        <f t="shared" ca="1" si="22"/>
        <v>0</v>
      </c>
      <c r="W37" s="127">
        <f t="shared" ca="1" si="23"/>
        <v>0</v>
      </c>
      <c r="X37" s="147">
        <v>0</v>
      </c>
      <c r="Y37" s="148">
        <f t="shared" ca="1" si="37"/>
        <v>0</v>
      </c>
      <c r="AB37" s="149">
        <f t="shared" ca="1" si="24"/>
        <v>0</v>
      </c>
      <c r="AC37" s="149">
        <f t="shared" ca="1" si="25"/>
        <v>0</v>
      </c>
      <c r="AD37" s="149">
        <f t="shared" ca="1" si="26"/>
        <v>0</v>
      </c>
      <c r="AE37" s="149">
        <f t="shared" si="27"/>
        <v>0</v>
      </c>
      <c r="AF37" s="149">
        <f t="shared" ca="1" si="28"/>
        <v>0</v>
      </c>
      <c r="AG37" s="149">
        <f t="shared" ca="1" si="29"/>
        <v>0</v>
      </c>
      <c r="AH37" s="149">
        <f t="shared" ca="1" si="30"/>
        <v>0</v>
      </c>
      <c r="AI37" s="149">
        <f t="shared" ca="1" si="31"/>
        <v>0</v>
      </c>
      <c r="AJ37" s="149">
        <f t="shared" ca="1" si="32"/>
        <v>0</v>
      </c>
      <c r="AK37" s="150"/>
      <c r="AL37" s="151">
        <f t="shared" ca="1" si="33"/>
        <v>0</v>
      </c>
      <c r="AM37" s="152"/>
      <c r="AP37" s="29" t="str">
        <f t="shared" ca="1" si="34"/>
        <v>0</v>
      </c>
      <c r="AQ37" s="29" t="str">
        <f t="shared" ca="1" si="35"/>
        <v>0</v>
      </c>
    </row>
    <row r="38" spans="1:43">
      <c r="A38" s="15">
        <f t="shared" si="36"/>
        <v>6</v>
      </c>
      <c r="B38" s="143" t="s">
        <v>106</v>
      </c>
      <c r="C38" s="15"/>
      <c r="D38" s="144" t="s">
        <v>78</v>
      </c>
      <c r="E38" s="15"/>
      <c r="F38" s="145" t="s">
        <v>122</v>
      </c>
      <c r="G38" s="146" t="str">
        <f t="shared" si="12"/>
        <v>ManTech6Little,MaryJane VContr</v>
      </c>
      <c r="H38" s="146"/>
      <c r="I38" s="144" t="s">
        <v>44</v>
      </c>
      <c r="J38" s="127">
        <v>30.59</v>
      </c>
      <c r="K38" s="127">
        <f t="shared" ca="1" si="13"/>
        <v>30.59</v>
      </c>
      <c r="L38" s="127">
        <f t="shared" ca="1" si="14"/>
        <v>0</v>
      </c>
      <c r="M38" s="127">
        <f t="shared" ca="1" si="14"/>
        <v>0</v>
      </c>
      <c r="N38" s="127">
        <f t="shared" ca="1" si="15"/>
        <v>9.5593749999999993</v>
      </c>
      <c r="O38" s="127">
        <f t="shared" ca="1" si="16"/>
        <v>6.0224062499999995</v>
      </c>
      <c r="P38" s="127">
        <f t="shared" ca="1" si="17"/>
        <v>0</v>
      </c>
      <c r="Q38" s="127">
        <f t="shared" ca="1" si="18"/>
        <v>0</v>
      </c>
      <c r="R38" s="127">
        <f t="shared" ca="1" si="19"/>
        <v>0</v>
      </c>
      <c r="S38" s="127">
        <f t="shared" ca="1" si="19"/>
        <v>0</v>
      </c>
      <c r="T38" s="127">
        <f t="shared" ca="1" si="20"/>
        <v>4.5017486718749993</v>
      </c>
      <c r="U38" s="127">
        <f t="shared" ca="1" si="21"/>
        <v>50.673529921874994</v>
      </c>
      <c r="V38" s="127">
        <f t="shared" ca="1" si="22"/>
        <v>7.6010294882812488</v>
      </c>
      <c r="W38" s="127">
        <f t="shared" ca="1" si="23"/>
        <v>58.27</v>
      </c>
      <c r="X38" s="147">
        <v>20</v>
      </c>
      <c r="Y38" s="148">
        <f t="shared" ca="1" si="37"/>
        <v>1165.4000000000001</v>
      </c>
      <c r="AB38" s="149">
        <f t="shared" ca="1" si="24"/>
        <v>611.79999999999995</v>
      </c>
      <c r="AC38" s="149">
        <f t="shared" ca="1" si="25"/>
        <v>191.1875</v>
      </c>
      <c r="AD38" s="149">
        <f t="shared" ca="1" si="26"/>
        <v>120.44812499999999</v>
      </c>
      <c r="AE38" s="149">
        <f t="shared" ca="1" si="27"/>
        <v>0</v>
      </c>
      <c r="AF38" s="149">
        <f t="shared" ca="1" si="28"/>
        <v>0</v>
      </c>
      <c r="AG38" s="149">
        <f t="shared" ca="1" si="29"/>
        <v>90.034973437499985</v>
      </c>
      <c r="AH38" s="149">
        <f t="shared" ca="1" si="30"/>
        <v>1013.4705984374999</v>
      </c>
      <c r="AI38" s="149">
        <f t="shared" ca="1" si="31"/>
        <v>152.02058976562498</v>
      </c>
      <c r="AJ38" s="149">
        <f t="shared" ca="1" si="32"/>
        <v>1165.4911882031249</v>
      </c>
      <c r="AK38" s="150"/>
      <c r="AL38" s="151">
        <f t="shared" ca="1" si="33"/>
        <v>9.118820312482967E-2</v>
      </c>
      <c r="AM38" s="152"/>
      <c r="AP38" s="29" t="str">
        <f t="shared" ca="1" si="34"/>
        <v>1</v>
      </c>
      <c r="AQ38" s="29" t="str">
        <f t="shared" ca="1" si="35"/>
        <v>1</v>
      </c>
    </row>
    <row r="39" spans="1:43">
      <c r="A39" s="15">
        <f t="shared" si="36"/>
        <v>7</v>
      </c>
      <c r="B39" s="143" t="s">
        <v>107</v>
      </c>
      <c r="C39" s="15"/>
      <c r="D39" s="144" t="s">
        <v>78</v>
      </c>
      <c r="E39" s="15"/>
      <c r="F39" s="145">
        <v>0</v>
      </c>
      <c r="G39" s="146" t="str">
        <f t="shared" si="12"/>
        <v>ManTech70Govt</v>
      </c>
      <c r="H39" s="146"/>
      <c r="I39" s="144" t="s">
        <v>41</v>
      </c>
      <c r="J39" s="127">
        <v>0</v>
      </c>
      <c r="K39" s="127">
        <f t="shared" ca="1" si="13"/>
        <v>0</v>
      </c>
      <c r="L39" s="127"/>
      <c r="M39" s="127"/>
      <c r="N39" s="127">
        <f t="shared" ref="N39:N52" ca="1" si="38">$K39*(VLOOKUP($I39,$I$9:$V$24,N$6,FALSE))</f>
        <v>0</v>
      </c>
      <c r="O39" s="127">
        <f t="shared" ref="O39:O52" ca="1" si="39">($K39+$N39)*(VLOOKUP($I39,$I$9:$V$24,O$6,FALSE))</f>
        <v>0</v>
      </c>
      <c r="P39" s="127"/>
      <c r="Q39" s="127"/>
      <c r="R39" s="127">
        <f t="shared" ref="R39:S52" ca="1" si="40">$K39*(VLOOKUP($I39,$I$9:$V$24,R$6,FALSE))</f>
        <v>0</v>
      </c>
      <c r="S39" s="127">
        <f t="shared" ca="1" si="40"/>
        <v>0</v>
      </c>
      <c r="T39" s="127">
        <f t="shared" ca="1" si="20"/>
        <v>0</v>
      </c>
      <c r="U39" s="127">
        <f t="shared" ca="1" si="21"/>
        <v>0</v>
      </c>
      <c r="V39" s="127">
        <f t="shared" ca="1" si="22"/>
        <v>0</v>
      </c>
      <c r="W39" s="127">
        <f t="shared" ca="1" si="23"/>
        <v>0</v>
      </c>
      <c r="X39" s="147">
        <v>0</v>
      </c>
      <c r="Y39" s="148">
        <f t="shared" ca="1" si="37"/>
        <v>0</v>
      </c>
      <c r="AB39" s="149">
        <f t="shared" ca="1" si="24"/>
        <v>0</v>
      </c>
      <c r="AC39" s="149">
        <f t="shared" ca="1" si="25"/>
        <v>0</v>
      </c>
      <c r="AD39" s="149">
        <f t="shared" ca="1" si="26"/>
        <v>0</v>
      </c>
      <c r="AE39" s="149">
        <f t="shared" ca="1" si="27"/>
        <v>0</v>
      </c>
      <c r="AF39" s="149">
        <f t="shared" ca="1" si="28"/>
        <v>0</v>
      </c>
      <c r="AG39" s="149">
        <f t="shared" ca="1" si="29"/>
        <v>0</v>
      </c>
      <c r="AH39" s="149">
        <f t="shared" ca="1" si="30"/>
        <v>0</v>
      </c>
      <c r="AI39" s="149">
        <f t="shared" ca="1" si="31"/>
        <v>0</v>
      </c>
      <c r="AJ39" s="149">
        <f t="shared" ca="1" si="32"/>
        <v>0</v>
      </c>
      <c r="AK39" s="150"/>
      <c r="AL39" s="151">
        <f t="shared" ca="1" si="33"/>
        <v>0</v>
      </c>
      <c r="AM39" s="152"/>
      <c r="AP39" s="29" t="str">
        <f t="shared" ca="1" si="34"/>
        <v>0</v>
      </c>
      <c r="AQ39" s="29" t="str">
        <f t="shared" ca="1" si="35"/>
        <v>0</v>
      </c>
    </row>
    <row r="40" spans="1:43">
      <c r="A40" s="15">
        <f t="shared" si="36"/>
        <v>8</v>
      </c>
      <c r="B40" s="143" t="s">
        <v>108</v>
      </c>
      <c r="C40" s="15"/>
      <c r="D40" s="144" t="s">
        <v>78</v>
      </c>
      <c r="E40" s="15"/>
      <c r="F40" s="145">
        <v>0</v>
      </c>
      <c r="G40" s="146" t="str">
        <f t="shared" si="12"/>
        <v>ManTech80Govt</v>
      </c>
      <c r="H40" s="146"/>
      <c r="I40" s="144" t="s">
        <v>41</v>
      </c>
      <c r="J40" s="127">
        <v>0</v>
      </c>
      <c r="K40" s="127">
        <f t="shared" ca="1" si="13"/>
        <v>0</v>
      </c>
      <c r="L40" s="127"/>
      <c r="M40" s="127"/>
      <c r="N40" s="127">
        <f t="shared" ca="1" si="38"/>
        <v>0</v>
      </c>
      <c r="O40" s="127">
        <f t="shared" ca="1" si="39"/>
        <v>0</v>
      </c>
      <c r="P40" s="127"/>
      <c r="Q40" s="127"/>
      <c r="R40" s="127">
        <f t="shared" ca="1" si="40"/>
        <v>0</v>
      </c>
      <c r="S40" s="127">
        <f t="shared" ca="1" si="40"/>
        <v>0</v>
      </c>
      <c r="T40" s="127">
        <f t="shared" ca="1" si="20"/>
        <v>0</v>
      </c>
      <c r="U40" s="127">
        <f t="shared" ca="1" si="21"/>
        <v>0</v>
      </c>
      <c r="V40" s="127">
        <f t="shared" ca="1" si="22"/>
        <v>0</v>
      </c>
      <c r="W40" s="127">
        <f t="shared" ca="1" si="23"/>
        <v>0</v>
      </c>
      <c r="X40" s="147">
        <v>0</v>
      </c>
      <c r="Y40" s="148">
        <f t="shared" ca="1" si="37"/>
        <v>0</v>
      </c>
      <c r="AB40" s="149">
        <f t="shared" ca="1" si="24"/>
        <v>0</v>
      </c>
      <c r="AC40" s="149">
        <f t="shared" ca="1" si="25"/>
        <v>0</v>
      </c>
      <c r="AD40" s="149">
        <f t="shared" ca="1" si="26"/>
        <v>0</v>
      </c>
      <c r="AE40" s="149">
        <f t="shared" ca="1" si="27"/>
        <v>0</v>
      </c>
      <c r="AF40" s="149">
        <f t="shared" ca="1" si="28"/>
        <v>0</v>
      </c>
      <c r="AG40" s="149">
        <f t="shared" ca="1" si="29"/>
        <v>0</v>
      </c>
      <c r="AH40" s="149">
        <f t="shared" ca="1" si="30"/>
        <v>0</v>
      </c>
      <c r="AI40" s="149">
        <f t="shared" ca="1" si="31"/>
        <v>0</v>
      </c>
      <c r="AJ40" s="149">
        <f t="shared" ca="1" si="32"/>
        <v>0</v>
      </c>
      <c r="AK40" s="150"/>
      <c r="AL40" s="151">
        <f t="shared" ca="1" si="33"/>
        <v>0</v>
      </c>
      <c r="AM40" s="152"/>
      <c r="AP40" s="29" t="str">
        <f t="shared" ca="1" si="34"/>
        <v>0</v>
      </c>
      <c r="AQ40" s="29" t="str">
        <f t="shared" ca="1" si="35"/>
        <v>0</v>
      </c>
    </row>
    <row r="41" spans="1:43">
      <c r="A41" s="15">
        <f t="shared" si="36"/>
        <v>9</v>
      </c>
      <c r="B41" s="143" t="s">
        <v>109</v>
      </c>
      <c r="C41" s="15"/>
      <c r="D41" s="144" t="s">
        <v>78</v>
      </c>
      <c r="E41" s="15"/>
      <c r="F41" s="145">
        <v>0</v>
      </c>
      <c r="G41" s="146" t="str">
        <f t="shared" si="12"/>
        <v>ManTech90Govt</v>
      </c>
      <c r="H41" s="146"/>
      <c r="I41" s="144" t="s">
        <v>41</v>
      </c>
      <c r="J41" s="127">
        <v>0</v>
      </c>
      <c r="K41" s="127">
        <f t="shared" ca="1" si="13"/>
        <v>0</v>
      </c>
      <c r="L41" s="127"/>
      <c r="M41" s="127"/>
      <c r="N41" s="127">
        <f t="shared" ca="1" si="38"/>
        <v>0</v>
      </c>
      <c r="O41" s="127">
        <f t="shared" ca="1" si="39"/>
        <v>0</v>
      </c>
      <c r="P41" s="127"/>
      <c r="Q41" s="127"/>
      <c r="R41" s="127">
        <f t="shared" ca="1" si="40"/>
        <v>0</v>
      </c>
      <c r="S41" s="127">
        <f t="shared" ca="1" si="40"/>
        <v>0</v>
      </c>
      <c r="T41" s="127">
        <f t="shared" ca="1" si="20"/>
        <v>0</v>
      </c>
      <c r="U41" s="127">
        <f t="shared" ca="1" si="21"/>
        <v>0</v>
      </c>
      <c r="V41" s="127">
        <f t="shared" ca="1" si="22"/>
        <v>0</v>
      </c>
      <c r="W41" s="127">
        <f t="shared" ca="1" si="23"/>
        <v>0</v>
      </c>
      <c r="X41" s="147">
        <v>0</v>
      </c>
      <c r="Y41" s="148">
        <f t="shared" ca="1" si="37"/>
        <v>0</v>
      </c>
      <c r="AB41" s="149">
        <f t="shared" ca="1" si="24"/>
        <v>0</v>
      </c>
      <c r="AC41" s="149">
        <f t="shared" ca="1" si="25"/>
        <v>0</v>
      </c>
      <c r="AD41" s="149">
        <f t="shared" ca="1" si="26"/>
        <v>0</v>
      </c>
      <c r="AE41" s="149">
        <f t="shared" ca="1" si="27"/>
        <v>0</v>
      </c>
      <c r="AF41" s="149">
        <f t="shared" ca="1" si="28"/>
        <v>0</v>
      </c>
      <c r="AG41" s="149">
        <f t="shared" ca="1" si="29"/>
        <v>0</v>
      </c>
      <c r="AH41" s="149">
        <f t="shared" ca="1" si="30"/>
        <v>0</v>
      </c>
      <c r="AI41" s="149">
        <f t="shared" ca="1" si="31"/>
        <v>0</v>
      </c>
      <c r="AJ41" s="149">
        <f t="shared" ca="1" si="32"/>
        <v>0</v>
      </c>
      <c r="AK41" s="150"/>
      <c r="AL41" s="151">
        <f t="shared" ca="1" si="33"/>
        <v>0</v>
      </c>
      <c r="AM41" s="152"/>
      <c r="AP41" s="29" t="str">
        <f t="shared" ca="1" si="34"/>
        <v>0</v>
      </c>
      <c r="AQ41" s="29" t="str">
        <f t="shared" ca="1" si="35"/>
        <v>0</v>
      </c>
    </row>
    <row r="42" spans="1:43">
      <c r="A42" s="15">
        <f t="shared" si="36"/>
        <v>10</v>
      </c>
      <c r="B42" s="143" t="s">
        <v>110</v>
      </c>
      <c r="C42" s="15"/>
      <c r="D42" s="144" t="s">
        <v>78</v>
      </c>
      <c r="E42" s="15"/>
      <c r="F42" s="145">
        <v>0</v>
      </c>
      <c r="G42" s="146" t="str">
        <f t="shared" si="12"/>
        <v>ManTech100Govt</v>
      </c>
      <c r="H42" s="146"/>
      <c r="I42" s="144" t="s">
        <v>41</v>
      </c>
      <c r="J42" s="127">
        <v>0</v>
      </c>
      <c r="K42" s="127">
        <f t="shared" ca="1" si="13"/>
        <v>0</v>
      </c>
      <c r="L42" s="127"/>
      <c r="M42" s="127"/>
      <c r="N42" s="127">
        <f t="shared" ca="1" si="38"/>
        <v>0</v>
      </c>
      <c r="O42" s="127">
        <f t="shared" ca="1" si="39"/>
        <v>0</v>
      </c>
      <c r="P42" s="127"/>
      <c r="Q42" s="127"/>
      <c r="R42" s="127">
        <f t="shared" ca="1" si="40"/>
        <v>0</v>
      </c>
      <c r="S42" s="127">
        <f t="shared" ca="1" si="40"/>
        <v>0</v>
      </c>
      <c r="T42" s="127">
        <f t="shared" ca="1" si="20"/>
        <v>0</v>
      </c>
      <c r="U42" s="127">
        <f t="shared" ca="1" si="21"/>
        <v>0</v>
      </c>
      <c r="V42" s="127">
        <f t="shared" ca="1" si="22"/>
        <v>0</v>
      </c>
      <c r="W42" s="127">
        <f t="shared" ca="1" si="23"/>
        <v>0</v>
      </c>
      <c r="X42" s="147">
        <v>0</v>
      </c>
      <c r="Y42" s="148">
        <f t="shared" ca="1" si="37"/>
        <v>0</v>
      </c>
      <c r="AB42" s="149">
        <f t="shared" ca="1" si="24"/>
        <v>0</v>
      </c>
      <c r="AC42" s="149">
        <f t="shared" ca="1" si="25"/>
        <v>0</v>
      </c>
      <c r="AD42" s="149">
        <f t="shared" ca="1" si="26"/>
        <v>0</v>
      </c>
      <c r="AE42" s="149">
        <f t="shared" ca="1" si="27"/>
        <v>0</v>
      </c>
      <c r="AF42" s="149">
        <f t="shared" ca="1" si="28"/>
        <v>0</v>
      </c>
      <c r="AG42" s="149">
        <f t="shared" ca="1" si="29"/>
        <v>0</v>
      </c>
      <c r="AH42" s="149">
        <f t="shared" ca="1" si="30"/>
        <v>0</v>
      </c>
      <c r="AI42" s="149">
        <f t="shared" ca="1" si="31"/>
        <v>0</v>
      </c>
      <c r="AJ42" s="149">
        <f t="shared" ca="1" si="32"/>
        <v>0</v>
      </c>
      <c r="AK42" s="150"/>
      <c r="AL42" s="151">
        <f t="shared" ca="1" si="33"/>
        <v>0</v>
      </c>
      <c r="AM42" s="152"/>
      <c r="AP42" s="29" t="str">
        <f t="shared" ca="1" si="34"/>
        <v>0</v>
      </c>
      <c r="AQ42" s="29" t="str">
        <f t="shared" ca="1" si="35"/>
        <v>0</v>
      </c>
    </row>
    <row r="43" spans="1:43">
      <c r="A43" s="15">
        <f t="shared" si="36"/>
        <v>11</v>
      </c>
      <c r="B43" s="143" t="s">
        <v>111</v>
      </c>
      <c r="C43" s="15"/>
      <c r="D43" s="144" t="s">
        <v>78</v>
      </c>
      <c r="E43" s="15"/>
      <c r="F43" s="145">
        <v>0</v>
      </c>
      <c r="G43" s="146" t="str">
        <f t="shared" si="12"/>
        <v>ManTech110Govt</v>
      </c>
      <c r="H43" s="146"/>
      <c r="I43" s="144" t="s">
        <v>41</v>
      </c>
      <c r="J43" s="127">
        <v>0</v>
      </c>
      <c r="K43" s="127">
        <f t="shared" ca="1" si="13"/>
        <v>0</v>
      </c>
      <c r="L43" s="127"/>
      <c r="M43" s="127"/>
      <c r="N43" s="127">
        <f t="shared" ca="1" si="38"/>
        <v>0</v>
      </c>
      <c r="O43" s="127">
        <f t="shared" ca="1" si="39"/>
        <v>0</v>
      </c>
      <c r="P43" s="127"/>
      <c r="Q43" s="127"/>
      <c r="R43" s="127">
        <f t="shared" ca="1" si="40"/>
        <v>0</v>
      </c>
      <c r="S43" s="127">
        <f t="shared" ca="1" si="40"/>
        <v>0</v>
      </c>
      <c r="T43" s="127">
        <f t="shared" ca="1" si="20"/>
        <v>0</v>
      </c>
      <c r="U43" s="127">
        <f t="shared" ca="1" si="21"/>
        <v>0</v>
      </c>
      <c r="V43" s="127">
        <f t="shared" ca="1" si="22"/>
        <v>0</v>
      </c>
      <c r="W43" s="127">
        <f t="shared" ca="1" si="23"/>
        <v>0</v>
      </c>
      <c r="X43" s="147">
        <v>0</v>
      </c>
      <c r="Y43" s="148">
        <f t="shared" ca="1" si="37"/>
        <v>0</v>
      </c>
      <c r="AB43" s="149">
        <f t="shared" ca="1" si="24"/>
        <v>0</v>
      </c>
      <c r="AC43" s="149">
        <f t="shared" ca="1" si="25"/>
        <v>0</v>
      </c>
      <c r="AD43" s="149">
        <f t="shared" ca="1" si="26"/>
        <v>0</v>
      </c>
      <c r="AE43" s="149">
        <f t="shared" ca="1" si="27"/>
        <v>0</v>
      </c>
      <c r="AF43" s="149">
        <f t="shared" ca="1" si="28"/>
        <v>0</v>
      </c>
      <c r="AG43" s="149">
        <f t="shared" ca="1" si="29"/>
        <v>0</v>
      </c>
      <c r="AH43" s="149">
        <f t="shared" ca="1" si="30"/>
        <v>0</v>
      </c>
      <c r="AI43" s="149">
        <f t="shared" ca="1" si="31"/>
        <v>0</v>
      </c>
      <c r="AJ43" s="149">
        <f t="shared" ca="1" si="32"/>
        <v>0</v>
      </c>
      <c r="AK43" s="150"/>
      <c r="AL43" s="151">
        <f t="shared" ca="1" si="33"/>
        <v>0</v>
      </c>
      <c r="AM43" s="152"/>
      <c r="AP43" s="29" t="str">
        <f t="shared" ca="1" si="34"/>
        <v>0</v>
      </c>
      <c r="AQ43" s="29" t="str">
        <f t="shared" ca="1" si="35"/>
        <v>0</v>
      </c>
    </row>
    <row r="44" spans="1:43">
      <c r="A44" s="15">
        <f t="shared" si="36"/>
        <v>12</v>
      </c>
      <c r="B44" s="143" t="s">
        <v>112</v>
      </c>
      <c r="C44" s="15"/>
      <c r="D44" s="144" t="s">
        <v>78</v>
      </c>
      <c r="E44" s="15"/>
      <c r="F44" s="145">
        <v>0</v>
      </c>
      <c r="G44" s="146" t="str">
        <f t="shared" si="12"/>
        <v>ManTech120Govt</v>
      </c>
      <c r="H44" s="146"/>
      <c r="I44" s="144" t="s">
        <v>41</v>
      </c>
      <c r="J44" s="127">
        <v>0</v>
      </c>
      <c r="K44" s="127">
        <f t="shared" ca="1" si="13"/>
        <v>0</v>
      </c>
      <c r="L44" s="127"/>
      <c r="M44" s="127"/>
      <c r="N44" s="127">
        <f t="shared" ca="1" si="38"/>
        <v>0</v>
      </c>
      <c r="O44" s="127">
        <f t="shared" ca="1" si="39"/>
        <v>0</v>
      </c>
      <c r="P44" s="127"/>
      <c r="Q44" s="127"/>
      <c r="R44" s="127">
        <f t="shared" ca="1" si="40"/>
        <v>0</v>
      </c>
      <c r="S44" s="127">
        <f t="shared" ca="1" si="40"/>
        <v>0</v>
      </c>
      <c r="T44" s="127">
        <f t="shared" ca="1" si="20"/>
        <v>0</v>
      </c>
      <c r="U44" s="127">
        <f t="shared" ca="1" si="21"/>
        <v>0</v>
      </c>
      <c r="V44" s="127">
        <f t="shared" ca="1" si="22"/>
        <v>0</v>
      </c>
      <c r="W44" s="127">
        <f t="shared" ca="1" si="23"/>
        <v>0</v>
      </c>
      <c r="X44" s="147">
        <v>0</v>
      </c>
      <c r="Y44" s="148">
        <f t="shared" ca="1" si="37"/>
        <v>0</v>
      </c>
      <c r="AB44" s="149">
        <f t="shared" ca="1" si="24"/>
        <v>0</v>
      </c>
      <c r="AC44" s="149">
        <f t="shared" ca="1" si="25"/>
        <v>0</v>
      </c>
      <c r="AD44" s="149">
        <f t="shared" ca="1" si="26"/>
        <v>0</v>
      </c>
      <c r="AE44" s="149">
        <f t="shared" ca="1" si="27"/>
        <v>0</v>
      </c>
      <c r="AF44" s="149">
        <f t="shared" ca="1" si="28"/>
        <v>0</v>
      </c>
      <c r="AG44" s="149">
        <f t="shared" ca="1" si="29"/>
        <v>0</v>
      </c>
      <c r="AH44" s="149">
        <f t="shared" ca="1" si="30"/>
        <v>0</v>
      </c>
      <c r="AI44" s="149">
        <f t="shared" ca="1" si="31"/>
        <v>0</v>
      </c>
      <c r="AJ44" s="149">
        <f t="shared" ca="1" si="32"/>
        <v>0</v>
      </c>
      <c r="AK44" s="150"/>
      <c r="AL44" s="151">
        <f t="shared" ca="1" si="33"/>
        <v>0</v>
      </c>
      <c r="AM44" s="152"/>
      <c r="AP44" s="29" t="str">
        <f t="shared" ca="1" si="34"/>
        <v>0</v>
      </c>
      <c r="AQ44" s="29" t="str">
        <f t="shared" ca="1" si="35"/>
        <v>0</v>
      </c>
    </row>
    <row r="45" spans="1:43">
      <c r="A45" s="15">
        <f t="shared" si="36"/>
        <v>13</v>
      </c>
      <c r="B45" s="143" t="s">
        <v>113</v>
      </c>
      <c r="C45" s="15"/>
      <c r="D45" s="144" t="s">
        <v>78</v>
      </c>
      <c r="E45" s="15"/>
      <c r="F45" s="145">
        <v>0</v>
      </c>
      <c r="G45" s="146" t="str">
        <f t="shared" si="12"/>
        <v>ManTech130Govt</v>
      </c>
      <c r="H45" s="146"/>
      <c r="I45" s="144" t="s">
        <v>41</v>
      </c>
      <c r="J45" s="127">
        <v>0</v>
      </c>
      <c r="K45" s="127">
        <f t="shared" ca="1" si="13"/>
        <v>0</v>
      </c>
      <c r="L45" s="127"/>
      <c r="M45" s="127"/>
      <c r="N45" s="127">
        <f t="shared" ca="1" si="38"/>
        <v>0</v>
      </c>
      <c r="O45" s="127">
        <f t="shared" ca="1" si="39"/>
        <v>0</v>
      </c>
      <c r="P45" s="127"/>
      <c r="Q45" s="127"/>
      <c r="R45" s="127">
        <f t="shared" ca="1" si="40"/>
        <v>0</v>
      </c>
      <c r="S45" s="127">
        <f t="shared" ca="1" si="40"/>
        <v>0</v>
      </c>
      <c r="T45" s="127">
        <f t="shared" ca="1" si="20"/>
        <v>0</v>
      </c>
      <c r="U45" s="127">
        <f t="shared" ca="1" si="21"/>
        <v>0</v>
      </c>
      <c r="V45" s="127">
        <f t="shared" ca="1" si="22"/>
        <v>0</v>
      </c>
      <c r="W45" s="127">
        <f t="shared" ca="1" si="23"/>
        <v>0</v>
      </c>
      <c r="X45" s="147">
        <v>0</v>
      </c>
      <c r="Y45" s="148">
        <f t="shared" ca="1" si="37"/>
        <v>0</v>
      </c>
      <c r="AB45" s="149">
        <f t="shared" ca="1" si="24"/>
        <v>0</v>
      </c>
      <c r="AC45" s="149">
        <f t="shared" ca="1" si="25"/>
        <v>0</v>
      </c>
      <c r="AD45" s="149">
        <f t="shared" ca="1" si="26"/>
        <v>0</v>
      </c>
      <c r="AE45" s="149">
        <f t="shared" ca="1" si="27"/>
        <v>0</v>
      </c>
      <c r="AF45" s="149">
        <f t="shared" ca="1" si="28"/>
        <v>0</v>
      </c>
      <c r="AG45" s="149">
        <f t="shared" ca="1" si="29"/>
        <v>0</v>
      </c>
      <c r="AH45" s="149">
        <f t="shared" ca="1" si="30"/>
        <v>0</v>
      </c>
      <c r="AI45" s="149">
        <f t="shared" ca="1" si="31"/>
        <v>0</v>
      </c>
      <c r="AJ45" s="149">
        <f t="shared" ca="1" si="32"/>
        <v>0</v>
      </c>
      <c r="AK45" s="150"/>
      <c r="AL45" s="151">
        <f t="shared" ca="1" si="33"/>
        <v>0</v>
      </c>
      <c r="AM45" s="152"/>
      <c r="AP45" s="29" t="str">
        <f t="shared" ca="1" si="34"/>
        <v>0</v>
      </c>
      <c r="AQ45" s="29" t="str">
        <f t="shared" ca="1" si="35"/>
        <v>0</v>
      </c>
    </row>
    <row r="46" spans="1:43">
      <c r="A46" s="15">
        <f t="shared" si="36"/>
        <v>14</v>
      </c>
      <c r="B46" s="143" t="s">
        <v>114</v>
      </c>
      <c r="C46" s="15"/>
      <c r="D46" s="144" t="s">
        <v>78</v>
      </c>
      <c r="E46" s="15"/>
      <c r="F46" s="145">
        <v>0</v>
      </c>
      <c r="G46" s="146" t="str">
        <f t="shared" si="12"/>
        <v>ManTech140Govt</v>
      </c>
      <c r="H46" s="146"/>
      <c r="I46" s="144" t="s">
        <v>41</v>
      </c>
      <c r="J46" s="127">
        <v>0</v>
      </c>
      <c r="K46" s="127">
        <f t="shared" ca="1" si="13"/>
        <v>0</v>
      </c>
      <c r="L46" s="127"/>
      <c r="M46" s="127"/>
      <c r="N46" s="127">
        <f t="shared" ca="1" si="38"/>
        <v>0</v>
      </c>
      <c r="O46" s="127">
        <f t="shared" ca="1" si="39"/>
        <v>0</v>
      </c>
      <c r="P46" s="127"/>
      <c r="Q46" s="127"/>
      <c r="R46" s="127">
        <f t="shared" ca="1" si="40"/>
        <v>0</v>
      </c>
      <c r="S46" s="127">
        <f t="shared" ca="1" si="40"/>
        <v>0</v>
      </c>
      <c r="T46" s="127">
        <f t="shared" ca="1" si="20"/>
        <v>0</v>
      </c>
      <c r="U46" s="127">
        <f t="shared" ca="1" si="21"/>
        <v>0</v>
      </c>
      <c r="V46" s="127">
        <f t="shared" ca="1" si="22"/>
        <v>0</v>
      </c>
      <c r="W46" s="127">
        <f t="shared" ca="1" si="23"/>
        <v>0</v>
      </c>
      <c r="X46" s="147">
        <v>0</v>
      </c>
      <c r="Y46" s="148">
        <f t="shared" ca="1" si="37"/>
        <v>0</v>
      </c>
      <c r="AB46" s="149">
        <f t="shared" ca="1" si="24"/>
        <v>0</v>
      </c>
      <c r="AC46" s="149">
        <f t="shared" ca="1" si="25"/>
        <v>0</v>
      </c>
      <c r="AD46" s="149">
        <f t="shared" ca="1" si="26"/>
        <v>0</v>
      </c>
      <c r="AE46" s="149">
        <f t="shared" ca="1" si="27"/>
        <v>0</v>
      </c>
      <c r="AF46" s="149">
        <f t="shared" ca="1" si="28"/>
        <v>0</v>
      </c>
      <c r="AG46" s="149">
        <f t="shared" ca="1" si="29"/>
        <v>0</v>
      </c>
      <c r="AH46" s="149">
        <f t="shared" ca="1" si="30"/>
        <v>0</v>
      </c>
      <c r="AI46" s="149">
        <f t="shared" ca="1" si="31"/>
        <v>0</v>
      </c>
      <c r="AJ46" s="149">
        <f t="shared" ca="1" si="32"/>
        <v>0</v>
      </c>
      <c r="AK46" s="150"/>
      <c r="AL46" s="151">
        <f t="shared" ca="1" si="33"/>
        <v>0</v>
      </c>
      <c r="AM46" s="152"/>
      <c r="AP46" s="29" t="str">
        <f t="shared" ca="1" si="34"/>
        <v>0</v>
      </c>
      <c r="AQ46" s="29" t="str">
        <f t="shared" ca="1" si="35"/>
        <v>0</v>
      </c>
    </row>
    <row r="47" spans="1:43">
      <c r="A47" s="15">
        <f t="shared" si="36"/>
        <v>15</v>
      </c>
      <c r="B47" s="143" t="s">
        <v>115</v>
      </c>
      <c r="C47" s="15"/>
      <c r="D47" s="144" t="s">
        <v>78</v>
      </c>
      <c r="E47" s="15"/>
      <c r="F47" s="145">
        <v>0</v>
      </c>
      <c r="G47" s="146" t="str">
        <f t="shared" si="12"/>
        <v>ManTech150Govt</v>
      </c>
      <c r="H47" s="146"/>
      <c r="I47" s="144" t="s">
        <v>41</v>
      </c>
      <c r="J47" s="127">
        <v>0</v>
      </c>
      <c r="K47" s="127">
        <f t="shared" ca="1" si="13"/>
        <v>0</v>
      </c>
      <c r="L47" s="127"/>
      <c r="M47" s="127"/>
      <c r="N47" s="127">
        <f t="shared" ca="1" si="38"/>
        <v>0</v>
      </c>
      <c r="O47" s="127">
        <f t="shared" ca="1" si="39"/>
        <v>0</v>
      </c>
      <c r="P47" s="127"/>
      <c r="Q47" s="127"/>
      <c r="R47" s="127">
        <f t="shared" ca="1" si="40"/>
        <v>0</v>
      </c>
      <c r="S47" s="127">
        <f t="shared" ca="1" si="40"/>
        <v>0</v>
      </c>
      <c r="T47" s="127">
        <f t="shared" ca="1" si="20"/>
        <v>0</v>
      </c>
      <c r="U47" s="127">
        <f t="shared" ca="1" si="21"/>
        <v>0</v>
      </c>
      <c r="V47" s="127">
        <f t="shared" ca="1" si="22"/>
        <v>0</v>
      </c>
      <c r="W47" s="127">
        <f t="shared" ca="1" si="23"/>
        <v>0</v>
      </c>
      <c r="X47" s="147">
        <v>0</v>
      </c>
      <c r="Y47" s="148">
        <f t="shared" ca="1" si="37"/>
        <v>0</v>
      </c>
      <c r="AB47" s="149">
        <f t="shared" ca="1" si="24"/>
        <v>0</v>
      </c>
      <c r="AC47" s="149">
        <f t="shared" ca="1" si="25"/>
        <v>0</v>
      </c>
      <c r="AD47" s="149">
        <f t="shared" ca="1" si="26"/>
        <v>0</v>
      </c>
      <c r="AE47" s="149">
        <f t="shared" ca="1" si="27"/>
        <v>0</v>
      </c>
      <c r="AF47" s="149">
        <f t="shared" ca="1" si="28"/>
        <v>0</v>
      </c>
      <c r="AG47" s="149">
        <f t="shared" ca="1" si="29"/>
        <v>0</v>
      </c>
      <c r="AH47" s="149">
        <f t="shared" ca="1" si="30"/>
        <v>0</v>
      </c>
      <c r="AI47" s="149">
        <f t="shared" ca="1" si="31"/>
        <v>0</v>
      </c>
      <c r="AJ47" s="149">
        <f t="shared" ca="1" si="32"/>
        <v>0</v>
      </c>
      <c r="AK47" s="150"/>
      <c r="AL47" s="151">
        <f t="shared" ca="1" si="33"/>
        <v>0</v>
      </c>
      <c r="AM47" s="152"/>
      <c r="AP47" s="29" t="str">
        <f t="shared" ca="1" si="34"/>
        <v>0</v>
      </c>
      <c r="AQ47" s="29" t="str">
        <f t="shared" ca="1" si="35"/>
        <v>0</v>
      </c>
    </row>
    <row r="48" spans="1:43">
      <c r="A48" s="15">
        <f t="shared" si="36"/>
        <v>16</v>
      </c>
      <c r="B48" s="143" t="s">
        <v>116</v>
      </c>
      <c r="C48" s="15"/>
      <c r="D48" s="144" t="s">
        <v>78</v>
      </c>
      <c r="E48" s="15"/>
      <c r="F48" s="145">
        <v>0</v>
      </c>
      <c r="G48" s="146" t="str">
        <f t="shared" si="12"/>
        <v>ManTech160Govt</v>
      </c>
      <c r="H48" s="146"/>
      <c r="I48" s="144" t="s">
        <v>41</v>
      </c>
      <c r="J48" s="127">
        <v>0</v>
      </c>
      <c r="K48" s="127">
        <f t="shared" ca="1" si="13"/>
        <v>0</v>
      </c>
      <c r="L48" s="127"/>
      <c r="M48" s="127"/>
      <c r="N48" s="127">
        <f t="shared" ca="1" si="38"/>
        <v>0</v>
      </c>
      <c r="O48" s="127">
        <f t="shared" ca="1" si="39"/>
        <v>0</v>
      </c>
      <c r="P48" s="127"/>
      <c r="Q48" s="127"/>
      <c r="R48" s="127">
        <f t="shared" ca="1" si="40"/>
        <v>0</v>
      </c>
      <c r="S48" s="127">
        <f t="shared" ca="1" si="40"/>
        <v>0</v>
      </c>
      <c r="T48" s="127">
        <f t="shared" ca="1" si="20"/>
        <v>0</v>
      </c>
      <c r="U48" s="127">
        <f t="shared" ca="1" si="21"/>
        <v>0</v>
      </c>
      <c r="V48" s="127">
        <f t="shared" ca="1" si="22"/>
        <v>0</v>
      </c>
      <c r="W48" s="127">
        <f t="shared" ca="1" si="23"/>
        <v>0</v>
      </c>
      <c r="X48" s="147">
        <v>0</v>
      </c>
      <c r="Y48" s="148">
        <f t="shared" ca="1" si="37"/>
        <v>0</v>
      </c>
      <c r="AB48" s="149">
        <f t="shared" ca="1" si="24"/>
        <v>0</v>
      </c>
      <c r="AC48" s="149">
        <f t="shared" ca="1" si="25"/>
        <v>0</v>
      </c>
      <c r="AD48" s="149">
        <f t="shared" ca="1" si="26"/>
        <v>0</v>
      </c>
      <c r="AE48" s="149">
        <f t="shared" ca="1" si="27"/>
        <v>0</v>
      </c>
      <c r="AF48" s="149">
        <f t="shared" ca="1" si="28"/>
        <v>0</v>
      </c>
      <c r="AG48" s="149">
        <f t="shared" ca="1" si="29"/>
        <v>0</v>
      </c>
      <c r="AH48" s="149">
        <f t="shared" ca="1" si="30"/>
        <v>0</v>
      </c>
      <c r="AI48" s="149">
        <f t="shared" ca="1" si="31"/>
        <v>0</v>
      </c>
      <c r="AJ48" s="149">
        <f t="shared" ca="1" si="32"/>
        <v>0</v>
      </c>
      <c r="AK48" s="150"/>
      <c r="AL48" s="151">
        <f t="shared" ca="1" si="33"/>
        <v>0</v>
      </c>
      <c r="AM48" s="152"/>
      <c r="AP48" s="29" t="str">
        <f t="shared" ca="1" si="34"/>
        <v>0</v>
      </c>
      <c r="AQ48" s="29" t="str">
        <f t="shared" ca="1" si="35"/>
        <v>0</v>
      </c>
    </row>
    <row r="49" spans="1:43">
      <c r="A49" s="15">
        <f t="shared" si="36"/>
        <v>17</v>
      </c>
      <c r="B49" s="143" t="s">
        <v>117</v>
      </c>
      <c r="C49" s="15"/>
      <c r="D49" s="144" t="s">
        <v>78</v>
      </c>
      <c r="E49" s="15"/>
      <c r="F49" s="145">
        <v>0</v>
      </c>
      <c r="G49" s="146" t="str">
        <f t="shared" si="12"/>
        <v>ManTech170Govt</v>
      </c>
      <c r="H49" s="146"/>
      <c r="I49" s="144" t="s">
        <v>41</v>
      </c>
      <c r="J49" s="127">
        <v>0</v>
      </c>
      <c r="K49" s="127">
        <f t="shared" ca="1" si="13"/>
        <v>0</v>
      </c>
      <c r="L49" s="127"/>
      <c r="M49" s="127"/>
      <c r="N49" s="127">
        <f t="shared" ca="1" si="38"/>
        <v>0</v>
      </c>
      <c r="O49" s="127">
        <f t="shared" ca="1" si="39"/>
        <v>0</v>
      </c>
      <c r="P49" s="127"/>
      <c r="Q49" s="127"/>
      <c r="R49" s="127">
        <f t="shared" ca="1" si="40"/>
        <v>0</v>
      </c>
      <c r="S49" s="127">
        <f t="shared" ca="1" si="40"/>
        <v>0</v>
      </c>
      <c r="T49" s="127">
        <f t="shared" ca="1" si="20"/>
        <v>0</v>
      </c>
      <c r="U49" s="127">
        <f t="shared" ca="1" si="21"/>
        <v>0</v>
      </c>
      <c r="V49" s="127">
        <f t="shared" ca="1" si="22"/>
        <v>0</v>
      </c>
      <c r="W49" s="127">
        <f t="shared" ca="1" si="23"/>
        <v>0</v>
      </c>
      <c r="X49" s="147">
        <v>0</v>
      </c>
      <c r="Y49" s="148">
        <f t="shared" ca="1" si="37"/>
        <v>0</v>
      </c>
      <c r="AB49" s="149">
        <f t="shared" ca="1" si="24"/>
        <v>0</v>
      </c>
      <c r="AC49" s="149">
        <f t="shared" ca="1" si="25"/>
        <v>0</v>
      </c>
      <c r="AD49" s="149">
        <f t="shared" ca="1" si="26"/>
        <v>0</v>
      </c>
      <c r="AE49" s="149">
        <f t="shared" ca="1" si="27"/>
        <v>0</v>
      </c>
      <c r="AF49" s="149">
        <f t="shared" ca="1" si="28"/>
        <v>0</v>
      </c>
      <c r="AG49" s="149">
        <f t="shared" ca="1" si="29"/>
        <v>0</v>
      </c>
      <c r="AH49" s="149">
        <f t="shared" ca="1" si="30"/>
        <v>0</v>
      </c>
      <c r="AI49" s="149">
        <f t="shared" ca="1" si="31"/>
        <v>0</v>
      </c>
      <c r="AJ49" s="149">
        <f t="shared" ca="1" si="32"/>
        <v>0</v>
      </c>
      <c r="AK49" s="150"/>
      <c r="AL49" s="151">
        <f t="shared" ca="1" si="33"/>
        <v>0</v>
      </c>
      <c r="AM49" s="152"/>
      <c r="AP49" s="29" t="str">
        <f t="shared" ca="1" si="34"/>
        <v>0</v>
      </c>
      <c r="AQ49" s="29" t="str">
        <f t="shared" ca="1" si="35"/>
        <v>0</v>
      </c>
    </row>
    <row r="50" spans="1:43">
      <c r="A50" s="15">
        <f t="shared" si="36"/>
        <v>18</v>
      </c>
      <c r="B50" s="143" t="s">
        <v>118</v>
      </c>
      <c r="C50" s="15"/>
      <c r="D50" s="144" t="s">
        <v>78</v>
      </c>
      <c r="E50" s="15"/>
      <c r="F50" s="145">
        <v>0</v>
      </c>
      <c r="G50" s="146" t="str">
        <f t="shared" si="12"/>
        <v>ManTech180Govt</v>
      </c>
      <c r="H50" s="146"/>
      <c r="I50" s="144" t="s">
        <v>41</v>
      </c>
      <c r="J50" s="127">
        <v>0</v>
      </c>
      <c r="K50" s="127">
        <f t="shared" ca="1" si="13"/>
        <v>0</v>
      </c>
      <c r="L50" s="127"/>
      <c r="M50" s="127"/>
      <c r="N50" s="127">
        <f t="shared" ca="1" si="38"/>
        <v>0</v>
      </c>
      <c r="O50" s="127">
        <f t="shared" ca="1" si="39"/>
        <v>0</v>
      </c>
      <c r="P50" s="127"/>
      <c r="Q50" s="127"/>
      <c r="R50" s="127">
        <f t="shared" ca="1" si="40"/>
        <v>0</v>
      </c>
      <c r="S50" s="127">
        <f t="shared" ca="1" si="40"/>
        <v>0</v>
      </c>
      <c r="T50" s="127">
        <f t="shared" ca="1" si="20"/>
        <v>0</v>
      </c>
      <c r="U50" s="127">
        <f t="shared" ca="1" si="21"/>
        <v>0</v>
      </c>
      <c r="V50" s="127">
        <f t="shared" ca="1" si="22"/>
        <v>0</v>
      </c>
      <c r="W50" s="127">
        <f t="shared" ca="1" si="23"/>
        <v>0</v>
      </c>
      <c r="X50" s="147">
        <v>0</v>
      </c>
      <c r="Y50" s="148">
        <f t="shared" ca="1" si="37"/>
        <v>0</v>
      </c>
      <c r="AB50" s="149">
        <f t="shared" ca="1" si="24"/>
        <v>0</v>
      </c>
      <c r="AC50" s="149">
        <f t="shared" ca="1" si="25"/>
        <v>0</v>
      </c>
      <c r="AD50" s="149">
        <f t="shared" ca="1" si="26"/>
        <v>0</v>
      </c>
      <c r="AE50" s="149">
        <f t="shared" ca="1" si="27"/>
        <v>0</v>
      </c>
      <c r="AF50" s="149">
        <f t="shared" ca="1" si="28"/>
        <v>0</v>
      </c>
      <c r="AG50" s="149">
        <f t="shared" ca="1" si="29"/>
        <v>0</v>
      </c>
      <c r="AH50" s="149">
        <f t="shared" ca="1" si="30"/>
        <v>0</v>
      </c>
      <c r="AI50" s="149">
        <f t="shared" ca="1" si="31"/>
        <v>0</v>
      </c>
      <c r="AJ50" s="149">
        <f t="shared" ca="1" si="32"/>
        <v>0</v>
      </c>
      <c r="AK50" s="150"/>
      <c r="AL50" s="151">
        <f t="shared" ca="1" si="33"/>
        <v>0</v>
      </c>
      <c r="AM50" s="152"/>
      <c r="AP50" s="29" t="str">
        <f t="shared" ca="1" si="34"/>
        <v>0</v>
      </c>
      <c r="AQ50" s="29" t="str">
        <f t="shared" ca="1" si="35"/>
        <v>0</v>
      </c>
    </row>
    <row r="51" spans="1:43">
      <c r="A51" s="15">
        <f t="shared" si="36"/>
        <v>19</v>
      </c>
      <c r="B51" s="143" t="s">
        <v>119</v>
      </c>
      <c r="C51" s="15"/>
      <c r="D51" s="144" t="s">
        <v>78</v>
      </c>
      <c r="E51" s="15"/>
      <c r="F51" s="145">
        <v>0</v>
      </c>
      <c r="G51" s="146" t="str">
        <f t="shared" si="12"/>
        <v>ManTech190Govt</v>
      </c>
      <c r="H51" s="146"/>
      <c r="I51" s="144" t="s">
        <v>41</v>
      </c>
      <c r="J51" s="127">
        <v>0</v>
      </c>
      <c r="K51" s="127">
        <f t="shared" ca="1" si="13"/>
        <v>0</v>
      </c>
      <c r="L51" s="127"/>
      <c r="M51" s="127"/>
      <c r="N51" s="127">
        <f t="shared" ca="1" si="38"/>
        <v>0</v>
      </c>
      <c r="O51" s="127">
        <f t="shared" ca="1" si="39"/>
        <v>0</v>
      </c>
      <c r="P51" s="127"/>
      <c r="Q51" s="127"/>
      <c r="R51" s="127">
        <f t="shared" ca="1" si="40"/>
        <v>0</v>
      </c>
      <c r="S51" s="127">
        <f t="shared" ca="1" si="40"/>
        <v>0</v>
      </c>
      <c r="T51" s="127">
        <f t="shared" ca="1" si="20"/>
        <v>0</v>
      </c>
      <c r="U51" s="127">
        <f t="shared" ca="1" si="21"/>
        <v>0</v>
      </c>
      <c r="V51" s="127">
        <f t="shared" ca="1" si="22"/>
        <v>0</v>
      </c>
      <c r="W51" s="127">
        <f t="shared" ca="1" si="23"/>
        <v>0</v>
      </c>
      <c r="X51" s="147">
        <v>0</v>
      </c>
      <c r="Y51" s="148">
        <f t="shared" ca="1" si="37"/>
        <v>0</v>
      </c>
      <c r="AB51" s="149">
        <f t="shared" ca="1" si="24"/>
        <v>0</v>
      </c>
      <c r="AC51" s="149">
        <f t="shared" ca="1" si="25"/>
        <v>0</v>
      </c>
      <c r="AD51" s="149">
        <f t="shared" ca="1" si="26"/>
        <v>0</v>
      </c>
      <c r="AE51" s="149">
        <f t="shared" ca="1" si="27"/>
        <v>0</v>
      </c>
      <c r="AF51" s="149">
        <f t="shared" ca="1" si="28"/>
        <v>0</v>
      </c>
      <c r="AG51" s="149">
        <f t="shared" ca="1" si="29"/>
        <v>0</v>
      </c>
      <c r="AH51" s="149">
        <f t="shared" ca="1" si="30"/>
        <v>0</v>
      </c>
      <c r="AI51" s="149">
        <f t="shared" ca="1" si="31"/>
        <v>0</v>
      </c>
      <c r="AJ51" s="149">
        <f t="shared" ca="1" si="32"/>
        <v>0</v>
      </c>
      <c r="AK51" s="150"/>
      <c r="AL51" s="151">
        <f t="shared" ca="1" si="33"/>
        <v>0</v>
      </c>
      <c r="AM51" s="152"/>
      <c r="AP51" s="29" t="str">
        <f t="shared" ca="1" si="34"/>
        <v>0</v>
      </c>
      <c r="AQ51" s="29" t="str">
        <f t="shared" ca="1" si="35"/>
        <v>0</v>
      </c>
    </row>
    <row r="52" spans="1:43">
      <c r="A52" s="15">
        <f t="shared" si="36"/>
        <v>20</v>
      </c>
      <c r="B52" s="143" t="s">
        <v>120</v>
      </c>
      <c r="C52" s="15"/>
      <c r="D52" s="144" t="s">
        <v>78</v>
      </c>
      <c r="E52" s="15"/>
      <c r="F52" s="145">
        <v>0</v>
      </c>
      <c r="G52" s="146" t="str">
        <f t="shared" si="12"/>
        <v>ManTech200Govt</v>
      </c>
      <c r="H52" s="146"/>
      <c r="I52" s="144" t="s">
        <v>41</v>
      </c>
      <c r="J52" s="127">
        <v>0</v>
      </c>
      <c r="K52" s="127">
        <f t="shared" ca="1" si="13"/>
        <v>0</v>
      </c>
      <c r="L52" s="127"/>
      <c r="M52" s="127"/>
      <c r="N52" s="127">
        <f t="shared" ca="1" si="38"/>
        <v>0</v>
      </c>
      <c r="O52" s="127">
        <f t="shared" ca="1" si="39"/>
        <v>0</v>
      </c>
      <c r="P52" s="127"/>
      <c r="Q52" s="127"/>
      <c r="R52" s="127">
        <f t="shared" ca="1" si="40"/>
        <v>0</v>
      </c>
      <c r="S52" s="127">
        <f t="shared" ca="1" si="40"/>
        <v>0</v>
      </c>
      <c r="T52" s="127">
        <f t="shared" ca="1" si="20"/>
        <v>0</v>
      </c>
      <c r="U52" s="127">
        <f t="shared" ca="1" si="21"/>
        <v>0</v>
      </c>
      <c r="V52" s="127">
        <f t="shared" ca="1" si="22"/>
        <v>0</v>
      </c>
      <c r="W52" s="127">
        <f t="shared" ca="1" si="23"/>
        <v>0</v>
      </c>
      <c r="X52" s="147">
        <v>0</v>
      </c>
      <c r="Y52" s="148">
        <f t="shared" ca="1" si="37"/>
        <v>0</v>
      </c>
      <c r="AB52" s="149">
        <f t="shared" ca="1" si="24"/>
        <v>0</v>
      </c>
      <c r="AC52" s="149">
        <f t="shared" ca="1" si="25"/>
        <v>0</v>
      </c>
      <c r="AD52" s="149">
        <f t="shared" ca="1" si="26"/>
        <v>0</v>
      </c>
      <c r="AE52" s="149">
        <f t="shared" ca="1" si="27"/>
        <v>0</v>
      </c>
      <c r="AF52" s="149">
        <f t="shared" ca="1" si="28"/>
        <v>0</v>
      </c>
      <c r="AG52" s="149">
        <f t="shared" ca="1" si="29"/>
        <v>0</v>
      </c>
      <c r="AH52" s="149">
        <f t="shared" ca="1" si="30"/>
        <v>0</v>
      </c>
      <c r="AI52" s="149">
        <f t="shared" ca="1" si="31"/>
        <v>0</v>
      </c>
      <c r="AJ52" s="149">
        <f t="shared" ca="1" si="32"/>
        <v>0</v>
      </c>
      <c r="AK52" s="150"/>
      <c r="AL52" s="151">
        <f t="shared" ca="1" si="33"/>
        <v>0</v>
      </c>
      <c r="AM52" s="152"/>
      <c r="AP52" s="29" t="str">
        <f t="shared" ca="1" si="34"/>
        <v>0</v>
      </c>
      <c r="AQ52" s="29" t="str">
        <f t="shared" ca="1" si="35"/>
        <v>0</v>
      </c>
    </row>
    <row r="53" spans="1:43">
      <c r="B53" s="153"/>
      <c r="C53" s="154"/>
      <c r="D53" s="154"/>
      <c r="E53" s="154"/>
      <c r="F53" s="155"/>
      <c r="G53" s="156"/>
      <c r="H53" s="156"/>
      <c r="I53" s="157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9"/>
      <c r="Y53" s="160"/>
      <c r="Z53" s="154"/>
      <c r="AA53" s="154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2"/>
      <c r="AM53" s="152"/>
      <c r="AP53" s="29" t="str">
        <f t="shared" si="34"/>
        <v>1</v>
      </c>
      <c r="AQ53" s="29" t="str">
        <f t="shared" si="35"/>
        <v>1</v>
      </c>
    </row>
    <row r="54" spans="1:43">
      <c r="B54" s="25"/>
      <c r="C54" s="15"/>
      <c r="D54" s="15"/>
      <c r="E54" s="15"/>
      <c r="F54" s="15"/>
      <c r="G54" s="15"/>
      <c r="H54" s="15"/>
      <c r="I54" s="15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63"/>
      <c r="AB54" s="149"/>
      <c r="AC54" s="149"/>
      <c r="AD54" s="149"/>
      <c r="AE54" s="149"/>
      <c r="AF54" s="149"/>
      <c r="AG54" s="149"/>
      <c r="AH54" s="149"/>
      <c r="AI54" s="149"/>
      <c r="AJ54" s="149"/>
      <c r="AK54" s="150"/>
      <c r="AL54" s="151"/>
      <c r="AM54" s="152"/>
      <c r="AP54" s="29" t="str">
        <f t="shared" si="34"/>
        <v>1</v>
      </c>
      <c r="AQ54" s="29" t="str">
        <f t="shared" si="35"/>
        <v>1</v>
      </c>
    </row>
    <row r="55" spans="1:43">
      <c r="B55" s="2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28" t="s">
        <v>79</v>
      </c>
      <c r="X55" s="164">
        <f>SUBTOTAL(9,X$31:X$54)</f>
        <v>908</v>
      </c>
      <c r="Y55" s="165">
        <f ca="1">SUBTOTAL(9,Y$31:Y$54)</f>
        <v>101817.56</v>
      </c>
      <c r="AB55" s="149">
        <f t="shared" ref="AB55:AJ55" ca="1" si="41">SUBTOTAL(9,AB$31:AB$54)</f>
        <v>36682.36</v>
      </c>
      <c r="AC55" s="149">
        <f t="shared" ca="1" si="41"/>
        <v>16368.102499999999</v>
      </c>
      <c r="AD55" s="149">
        <f t="shared" ca="1" si="41"/>
        <v>10311.904575</v>
      </c>
      <c r="AE55" s="149">
        <f t="shared" ca="1" si="41"/>
        <v>129.40153846153845</v>
      </c>
      <c r="AF55" s="149">
        <f t="shared" ca="1" si="41"/>
        <v>0</v>
      </c>
      <c r="AG55" s="149">
        <f t="shared" ca="1" si="41"/>
        <v>7865.7082847325009</v>
      </c>
      <c r="AH55" s="149">
        <f t="shared" ca="1" si="41"/>
        <v>71357.476898194043</v>
      </c>
      <c r="AI55" s="149">
        <f t="shared" ca="1" si="41"/>
        <v>13280.945911529107</v>
      </c>
      <c r="AJ55" s="149">
        <f t="shared" ca="1" si="41"/>
        <v>84638.422809723153</v>
      </c>
      <c r="AK55" s="150"/>
      <c r="AL55" s="151">
        <f ca="1">AJ55-Y55</f>
        <v>-17179.137190276844</v>
      </c>
      <c r="AM55" s="152"/>
      <c r="AP55" s="29" t="str">
        <f t="shared" si="34"/>
        <v>1</v>
      </c>
      <c r="AQ55" s="29" t="str">
        <f t="shared" ca="1" si="35"/>
        <v>1</v>
      </c>
    </row>
    <row r="56" spans="1:43" ht="13.5" thickBot="1">
      <c r="B56" s="2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28"/>
      <c r="X56" s="166"/>
      <c r="Y56" s="167"/>
      <c r="AH56" s="168" t="s">
        <v>80</v>
      </c>
      <c r="AI56" s="169">
        <f ca="1">IF(AH55=0,0,(AI55/AH55))</f>
        <v>0.1861184908552341</v>
      </c>
      <c r="AP56" s="29" t="str">
        <f t="shared" si="34"/>
        <v>1</v>
      </c>
      <c r="AQ56" s="29" t="str">
        <f t="shared" si="35"/>
        <v>1</v>
      </c>
    </row>
    <row r="57" spans="1:43" s="134" customFormat="1" ht="16.5" thickBot="1">
      <c r="B57" s="135" t="s">
        <v>81</v>
      </c>
      <c r="C57" s="136"/>
      <c r="D57" s="136"/>
      <c r="E57" s="137"/>
      <c r="F57" s="136"/>
      <c r="G57" s="138"/>
      <c r="H57" s="138"/>
      <c r="I57" s="136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40"/>
      <c r="Z57" s="139"/>
      <c r="AA57" s="137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2"/>
      <c r="AP57" s="29" t="str">
        <f t="shared" si="34"/>
        <v>1</v>
      </c>
      <c r="AQ57" s="29" t="str">
        <f t="shared" si="35"/>
        <v>1</v>
      </c>
    </row>
    <row r="58" spans="1:43">
      <c r="B58" s="170" t="s">
        <v>82</v>
      </c>
      <c r="C58" s="15"/>
      <c r="D58" s="15"/>
      <c r="E58" s="15"/>
      <c r="F58" s="15"/>
      <c r="G58" s="15"/>
      <c r="H58" s="15"/>
      <c r="I58" s="144" t="s">
        <v>54</v>
      </c>
      <c r="J58" s="171">
        <v>42625</v>
      </c>
      <c r="K58" s="171">
        <f t="shared" ref="K58:K91" ca="1" si="42">ROUND($J58*(VLOOKUP($I58,$I$9:$V$24,K$6,FALSE)),2)</f>
        <v>42625</v>
      </c>
      <c r="L58" s="171"/>
      <c r="M58" s="171"/>
      <c r="N58" s="171">
        <f t="shared" ref="N58:N91" ca="1" si="43">ROUND($K58*(VLOOKUP($I58,$I$9:$V$24,N$6,FALSE)),2)</f>
        <v>0</v>
      </c>
      <c r="O58" s="171">
        <f t="shared" ref="O58:O91" ca="1" si="44">ROUND(($K58+$N58)*(VLOOKUP($I58,$I$9:$V$24,O$6,FALSE)),2)</f>
        <v>1278.75</v>
      </c>
      <c r="P58" s="171"/>
      <c r="Q58" s="171"/>
      <c r="R58" s="171">
        <f t="shared" ref="R58:S77" ca="1" si="45">ROUND($K58*(VLOOKUP($I58,$I$9:$V$24,R$6,FALSE)),2)</f>
        <v>0</v>
      </c>
      <c r="S58" s="171">
        <f t="shared" ca="1" si="45"/>
        <v>0</v>
      </c>
      <c r="T58" s="171">
        <f t="shared" ref="T58:T91" ca="1" si="46">IF($O58=0,ROUND(SUM($K58:$R58)*(VLOOKUP($I58,$I$9:$V$24,T$6,FALSE)),2),ROUND(SUM($O58:$R58)*(VLOOKUP($I58,$I$9:$V$24,T$6,FALSE)),2))</f>
        <v>124.68</v>
      </c>
      <c r="U58" s="171">
        <f t="shared" ref="U58:U91" ca="1" si="47">SUM(K58:T58)</f>
        <v>44028.43</v>
      </c>
      <c r="V58" s="171">
        <f t="shared" ref="V58:V91" ca="1" si="48">ROUND(U58*(VLOOKUP($I58,$I$9:$V$24,V$6,FALSE)),2)</f>
        <v>13208.53</v>
      </c>
      <c r="W58" s="171">
        <f t="shared" ref="W58:W91" ca="1" si="49">SUM(U58:V58)</f>
        <v>57236.959999999999</v>
      </c>
      <c r="X58" s="147">
        <v>4</v>
      </c>
      <c r="Y58" s="148">
        <f t="shared" ref="Y58:Y72" ca="1" si="50">$W58*$X58</f>
        <v>228947.84</v>
      </c>
      <c r="AB58" s="172">
        <f t="shared" ref="AB58:AB91" ca="1" si="51">K58*$X58</f>
        <v>170500</v>
      </c>
      <c r="AC58" s="172">
        <f t="shared" ref="AC58:AC91" ca="1" si="52">N58*$X58</f>
        <v>0</v>
      </c>
      <c r="AD58" s="172">
        <f t="shared" ref="AD58:AD91" ca="1" si="53">O58*$X58</f>
        <v>5115</v>
      </c>
      <c r="AE58" s="172">
        <f t="shared" ref="AE58:AE91" ca="1" si="54">R58*$X58</f>
        <v>0</v>
      </c>
      <c r="AF58" s="172">
        <f t="shared" ref="AF58:AF91" ca="1" si="55">S58*$X58</f>
        <v>0</v>
      </c>
      <c r="AG58" s="172">
        <f t="shared" ref="AG58:AG91" ca="1" si="56">T58*$X58</f>
        <v>498.72</v>
      </c>
      <c r="AH58" s="149">
        <f t="shared" ref="AH58:AH91" ca="1" si="57">SUM(AB58:AG58)</f>
        <v>176113.72</v>
      </c>
      <c r="AI58" s="172">
        <f t="shared" ref="AI58:AI91" ca="1" si="58">V58*$X58</f>
        <v>52834.12</v>
      </c>
      <c r="AJ58" s="149">
        <f t="shared" ref="AJ58:AJ91" ca="1" si="59">SUM(AH58:AI58)</f>
        <v>228947.84</v>
      </c>
      <c r="AK58" s="150"/>
      <c r="AL58" s="151">
        <f t="shared" ref="AL58:AL91" ca="1" si="60">AJ58-Y58</f>
        <v>0</v>
      </c>
      <c r="AM58" s="152"/>
      <c r="AP58" s="29" t="str">
        <f t="shared" ca="1" si="34"/>
        <v>1</v>
      </c>
      <c r="AQ58" s="29" t="str">
        <f t="shared" ca="1" si="35"/>
        <v>1</v>
      </c>
    </row>
    <row r="59" spans="1:43">
      <c r="B59" s="170" t="s">
        <v>83</v>
      </c>
      <c r="C59" s="15"/>
      <c r="D59" s="15"/>
      <c r="E59" s="15"/>
      <c r="F59" s="15"/>
      <c r="G59" s="15"/>
      <c r="H59" s="15"/>
      <c r="I59" s="144" t="s">
        <v>55</v>
      </c>
      <c r="J59" s="171">
        <v>14464</v>
      </c>
      <c r="K59" s="171">
        <f t="shared" ca="1" si="42"/>
        <v>14464</v>
      </c>
      <c r="L59" s="171"/>
      <c r="M59" s="171"/>
      <c r="N59" s="171">
        <f t="shared" ca="1" si="43"/>
        <v>0</v>
      </c>
      <c r="O59" s="171">
        <f t="shared" ca="1" si="44"/>
        <v>0</v>
      </c>
      <c r="P59" s="171"/>
      <c r="Q59" s="171"/>
      <c r="R59" s="171">
        <f t="shared" ca="1" si="45"/>
        <v>0</v>
      </c>
      <c r="S59" s="171">
        <f t="shared" ca="1" si="45"/>
        <v>0</v>
      </c>
      <c r="T59" s="171">
        <f t="shared" ca="1" si="46"/>
        <v>1410.24</v>
      </c>
      <c r="U59" s="171">
        <f t="shared" ca="1" si="47"/>
        <v>15874.24</v>
      </c>
      <c r="V59" s="171">
        <f t="shared" ca="1" si="48"/>
        <v>1269.94</v>
      </c>
      <c r="W59" s="171">
        <f t="shared" ca="1" si="49"/>
        <v>17144.18</v>
      </c>
      <c r="X59" s="147"/>
      <c r="Y59" s="148">
        <f t="shared" ca="1" si="50"/>
        <v>0</v>
      </c>
      <c r="AB59" s="172">
        <f t="shared" ca="1" si="51"/>
        <v>0</v>
      </c>
      <c r="AC59" s="172">
        <f t="shared" ca="1" si="52"/>
        <v>0</v>
      </c>
      <c r="AD59" s="172">
        <f t="shared" ca="1" si="53"/>
        <v>0</v>
      </c>
      <c r="AE59" s="172">
        <f t="shared" ca="1" si="54"/>
        <v>0</v>
      </c>
      <c r="AF59" s="172">
        <f t="shared" ca="1" si="55"/>
        <v>0</v>
      </c>
      <c r="AG59" s="172">
        <f t="shared" ca="1" si="56"/>
        <v>0</v>
      </c>
      <c r="AH59" s="149">
        <f t="shared" ca="1" si="57"/>
        <v>0</v>
      </c>
      <c r="AI59" s="172">
        <f t="shared" ca="1" si="58"/>
        <v>0</v>
      </c>
      <c r="AJ59" s="149">
        <f t="shared" ca="1" si="59"/>
        <v>0</v>
      </c>
      <c r="AK59" s="150"/>
      <c r="AL59" s="151">
        <f t="shared" ca="1" si="60"/>
        <v>0</v>
      </c>
      <c r="AM59" s="152"/>
      <c r="AP59" s="29" t="str">
        <f t="shared" ca="1" si="34"/>
        <v>1</v>
      </c>
      <c r="AQ59" s="29" t="str">
        <f t="shared" ca="1" si="35"/>
        <v>0</v>
      </c>
    </row>
    <row r="60" spans="1:43">
      <c r="B60" s="170" t="s">
        <v>84</v>
      </c>
      <c r="C60" s="15"/>
      <c r="D60" s="15"/>
      <c r="E60" s="15"/>
      <c r="F60" s="15"/>
      <c r="G60" s="15"/>
      <c r="H60" s="15"/>
      <c r="I60" s="144" t="s">
        <v>54</v>
      </c>
      <c r="J60" s="171">
        <v>18600</v>
      </c>
      <c r="K60" s="171">
        <f t="shared" ca="1" si="42"/>
        <v>18600</v>
      </c>
      <c r="L60" s="171"/>
      <c r="M60" s="171"/>
      <c r="N60" s="171">
        <f t="shared" ca="1" si="43"/>
        <v>0</v>
      </c>
      <c r="O60" s="171">
        <f t="shared" ca="1" si="44"/>
        <v>558</v>
      </c>
      <c r="P60" s="171"/>
      <c r="Q60" s="171"/>
      <c r="R60" s="171">
        <f t="shared" ca="1" si="45"/>
        <v>0</v>
      </c>
      <c r="S60" s="171">
        <f t="shared" ca="1" si="45"/>
        <v>0</v>
      </c>
      <c r="T60" s="171">
        <f t="shared" ca="1" si="46"/>
        <v>54.41</v>
      </c>
      <c r="U60" s="171">
        <f t="shared" ca="1" si="47"/>
        <v>19212.41</v>
      </c>
      <c r="V60" s="171">
        <f t="shared" ca="1" si="48"/>
        <v>5763.72</v>
      </c>
      <c r="W60" s="171">
        <f t="shared" ca="1" si="49"/>
        <v>24976.13</v>
      </c>
      <c r="X60" s="147">
        <v>2</v>
      </c>
      <c r="Y60" s="148">
        <f t="shared" ca="1" si="50"/>
        <v>49952.26</v>
      </c>
      <c r="AB60" s="172">
        <f t="shared" ca="1" si="51"/>
        <v>37200</v>
      </c>
      <c r="AC60" s="172">
        <f t="shared" ca="1" si="52"/>
        <v>0</v>
      </c>
      <c r="AD60" s="172">
        <f t="shared" ca="1" si="53"/>
        <v>1116</v>
      </c>
      <c r="AE60" s="172">
        <f t="shared" ca="1" si="54"/>
        <v>0</v>
      </c>
      <c r="AF60" s="172">
        <f t="shared" ca="1" si="55"/>
        <v>0</v>
      </c>
      <c r="AG60" s="172">
        <f t="shared" ca="1" si="56"/>
        <v>108.82</v>
      </c>
      <c r="AH60" s="149">
        <f t="shared" ca="1" si="57"/>
        <v>38424.82</v>
      </c>
      <c r="AI60" s="172">
        <f t="shared" ca="1" si="58"/>
        <v>11527.44</v>
      </c>
      <c r="AJ60" s="149">
        <f t="shared" ca="1" si="59"/>
        <v>49952.26</v>
      </c>
      <c r="AK60" s="150"/>
      <c r="AL60" s="151">
        <f t="shared" ca="1" si="60"/>
        <v>0</v>
      </c>
      <c r="AM60" s="152"/>
      <c r="AP60" s="29" t="str">
        <f t="shared" ca="1" si="34"/>
        <v>1</v>
      </c>
      <c r="AQ60" s="29" t="str">
        <f t="shared" ca="1" si="35"/>
        <v>1</v>
      </c>
    </row>
    <row r="61" spans="1:43">
      <c r="B61" s="170" t="s">
        <v>85</v>
      </c>
      <c r="C61" s="15"/>
      <c r="D61" s="15"/>
      <c r="E61" s="15"/>
      <c r="F61" s="15"/>
      <c r="G61" s="15"/>
      <c r="H61" s="15"/>
      <c r="I61" s="144" t="s">
        <v>54</v>
      </c>
      <c r="J61" s="171">
        <v>31200</v>
      </c>
      <c r="K61" s="171">
        <f t="shared" ca="1" si="42"/>
        <v>31200</v>
      </c>
      <c r="L61" s="171"/>
      <c r="M61" s="171"/>
      <c r="N61" s="171">
        <f t="shared" ca="1" si="43"/>
        <v>0</v>
      </c>
      <c r="O61" s="171">
        <f t="shared" ca="1" si="44"/>
        <v>936</v>
      </c>
      <c r="P61" s="171"/>
      <c r="Q61" s="171"/>
      <c r="R61" s="171">
        <f t="shared" ca="1" si="45"/>
        <v>0</v>
      </c>
      <c r="S61" s="171">
        <f t="shared" ca="1" si="45"/>
        <v>0</v>
      </c>
      <c r="T61" s="171">
        <f t="shared" ca="1" si="46"/>
        <v>91.26</v>
      </c>
      <c r="U61" s="171">
        <f t="shared" ca="1" si="47"/>
        <v>32227.26</v>
      </c>
      <c r="V61" s="171">
        <f t="shared" ca="1" si="48"/>
        <v>9668.18</v>
      </c>
      <c r="W61" s="171">
        <f t="shared" ca="1" si="49"/>
        <v>41895.440000000002</v>
      </c>
      <c r="X61" s="147">
        <v>2</v>
      </c>
      <c r="Y61" s="148">
        <f t="shared" ca="1" si="50"/>
        <v>83790.880000000005</v>
      </c>
      <c r="AB61" s="172">
        <f t="shared" ca="1" si="51"/>
        <v>62400</v>
      </c>
      <c r="AC61" s="172">
        <f t="shared" ca="1" si="52"/>
        <v>0</v>
      </c>
      <c r="AD61" s="172">
        <f t="shared" ca="1" si="53"/>
        <v>1872</v>
      </c>
      <c r="AE61" s="172">
        <f t="shared" ca="1" si="54"/>
        <v>0</v>
      </c>
      <c r="AF61" s="172">
        <f t="shared" ca="1" si="55"/>
        <v>0</v>
      </c>
      <c r="AG61" s="172">
        <f t="shared" ca="1" si="56"/>
        <v>182.52</v>
      </c>
      <c r="AH61" s="149">
        <f t="shared" ca="1" si="57"/>
        <v>64454.52</v>
      </c>
      <c r="AI61" s="172">
        <f t="shared" ca="1" si="58"/>
        <v>19336.36</v>
      </c>
      <c r="AJ61" s="149">
        <f t="shared" ca="1" si="59"/>
        <v>83790.880000000005</v>
      </c>
      <c r="AK61" s="150"/>
      <c r="AL61" s="151">
        <f t="shared" ca="1" si="60"/>
        <v>0</v>
      </c>
      <c r="AM61" s="152"/>
      <c r="AP61" s="29" t="str">
        <f t="shared" ca="1" si="34"/>
        <v>1</v>
      </c>
      <c r="AQ61" s="29" t="str">
        <f t="shared" ca="1" si="35"/>
        <v>1</v>
      </c>
    </row>
    <row r="62" spans="1:43">
      <c r="B62" s="170" t="s">
        <v>83</v>
      </c>
      <c r="C62" s="15"/>
      <c r="D62" s="15"/>
      <c r="E62" s="15"/>
      <c r="F62" s="15"/>
      <c r="G62" s="15"/>
      <c r="H62" s="15"/>
      <c r="I62" s="144" t="s">
        <v>55</v>
      </c>
      <c r="J62" s="171">
        <v>9296</v>
      </c>
      <c r="K62" s="171">
        <f t="shared" ca="1" si="42"/>
        <v>9296</v>
      </c>
      <c r="L62" s="171"/>
      <c r="M62" s="171"/>
      <c r="N62" s="171">
        <f t="shared" ca="1" si="43"/>
        <v>0</v>
      </c>
      <c r="O62" s="171">
        <f t="shared" ca="1" si="44"/>
        <v>0</v>
      </c>
      <c r="P62" s="171"/>
      <c r="Q62" s="171"/>
      <c r="R62" s="171">
        <f t="shared" ca="1" si="45"/>
        <v>0</v>
      </c>
      <c r="S62" s="171">
        <f t="shared" ca="1" si="45"/>
        <v>0</v>
      </c>
      <c r="T62" s="171">
        <f t="shared" ca="1" si="46"/>
        <v>906.36</v>
      </c>
      <c r="U62" s="171">
        <f t="shared" ca="1" si="47"/>
        <v>10202.36</v>
      </c>
      <c r="V62" s="171">
        <f t="shared" ca="1" si="48"/>
        <v>816.19</v>
      </c>
      <c r="W62" s="171">
        <f t="shared" ca="1" si="49"/>
        <v>11018.550000000001</v>
      </c>
      <c r="X62" s="147"/>
      <c r="Y62" s="148">
        <f t="shared" ca="1" si="50"/>
        <v>0</v>
      </c>
      <c r="AB62" s="172">
        <f t="shared" ca="1" si="51"/>
        <v>0</v>
      </c>
      <c r="AC62" s="172">
        <f t="shared" ca="1" si="52"/>
        <v>0</v>
      </c>
      <c r="AD62" s="172">
        <f t="shared" ca="1" si="53"/>
        <v>0</v>
      </c>
      <c r="AE62" s="172">
        <f t="shared" ca="1" si="54"/>
        <v>0</v>
      </c>
      <c r="AF62" s="172">
        <f t="shared" ca="1" si="55"/>
        <v>0</v>
      </c>
      <c r="AG62" s="172">
        <f t="shared" ca="1" si="56"/>
        <v>0</v>
      </c>
      <c r="AH62" s="149">
        <f t="shared" ca="1" si="57"/>
        <v>0</v>
      </c>
      <c r="AI62" s="172">
        <f t="shared" ca="1" si="58"/>
        <v>0</v>
      </c>
      <c r="AJ62" s="149">
        <f t="shared" ca="1" si="59"/>
        <v>0</v>
      </c>
      <c r="AK62" s="150"/>
      <c r="AL62" s="151">
        <f t="shared" ca="1" si="60"/>
        <v>0</v>
      </c>
      <c r="AM62" s="152"/>
      <c r="AP62" s="29" t="str">
        <f t="shared" ca="1" si="34"/>
        <v>1</v>
      </c>
      <c r="AQ62" s="29" t="str">
        <f t="shared" ca="1" si="35"/>
        <v>0</v>
      </c>
    </row>
    <row r="63" spans="1:43">
      <c r="B63" s="170" t="s">
        <v>86</v>
      </c>
      <c r="C63" s="15"/>
      <c r="D63" s="15"/>
      <c r="E63" s="15"/>
      <c r="F63" s="15"/>
      <c r="G63" s="15"/>
      <c r="H63" s="15"/>
      <c r="I63" s="144" t="s">
        <v>54</v>
      </c>
      <c r="J63" s="171">
        <v>4950</v>
      </c>
      <c r="K63" s="171">
        <f t="shared" ca="1" si="42"/>
        <v>4950</v>
      </c>
      <c r="L63" s="171"/>
      <c r="M63" s="171"/>
      <c r="N63" s="171">
        <f t="shared" ca="1" si="43"/>
        <v>0</v>
      </c>
      <c r="O63" s="171">
        <f t="shared" ca="1" si="44"/>
        <v>148.5</v>
      </c>
      <c r="P63" s="171"/>
      <c r="Q63" s="171"/>
      <c r="R63" s="171">
        <f t="shared" ca="1" si="45"/>
        <v>0</v>
      </c>
      <c r="S63" s="171">
        <f t="shared" ca="1" si="45"/>
        <v>0</v>
      </c>
      <c r="T63" s="171">
        <f t="shared" ca="1" si="46"/>
        <v>14.48</v>
      </c>
      <c r="U63" s="171">
        <f t="shared" ca="1" si="47"/>
        <v>5112.9799999999996</v>
      </c>
      <c r="V63" s="171">
        <f t="shared" ca="1" si="48"/>
        <v>1533.89</v>
      </c>
      <c r="W63" s="171">
        <f t="shared" ca="1" si="49"/>
        <v>6646.87</v>
      </c>
      <c r="X63" s="147">
        <v>2</v>
      </c>
      <c r="Y63" s="148">
        <f t="shared" ca="1" si="50"/>
        <v>13293.74</v>
      </c>
      <c r="AB63" s="172">
        <f t="shared" ca="1" si="51"/>
        <v>9900</v>
      </c>
      <c r="AC63" s="172">
        <f t="shared" ca="1" si="52"/>
        <v>0</v>
      </c>
      <c r="AD63" s="172">
        <f t="shared" ca="1" si="53"/>
        <v>297</v>
      </c>
      <c r="AE63" s="172">
        <f t="shared" ca="1" si="54"/>
        <v>0</v>
      </c>
      <c r="AF63" s="172">
        <f t="shared" ca="1" si="55"/>
        <v>0</v>
      </c>
      <c r="AG63" s="172">
        <f t="shared" ca="1" si="56"/>
        <v>28.96</v>
      </c>
      <c r="AH63" s="149">
        <f t="shared" ca="1" si="57"/>
        <v>10225.959999999999</v>
      </c>
      <c r="AI63" s="172">
        <f t="shared" ca="1" si="58"/>
        <v>3067.78</v>
      </c>
      <c r="AJ63" s="149">
        <f t="shared" ca="1" si="59"/>
        <v>13293.74</v>
      </c>
      <c r="AK63" s="150"/>
      <c r="AL63" s="151">
        <f t="shared" ca="1" si="60"/>
        <v>0</v>
      </c>
      <c r="AM63" s="152"/>
      <c r="AP63" s="29" t="str">
        <f t="shared" ca="1" si="34"/>
        <v>1</v>
      </c>
      <c r="AQ63" s="29" t="str">
        <f t="shared" ca="1" si="35"/>
        <v>1</v>
      </c>
    </row>
    <row r="64" spans="1:43">
      <c r="B64" s="170" t="s">
        <v>83</v>
      </c>
      <c r="C64" s="15"/>
      <c r="D64" s="15"/>
      <c r="E64" s="15"/>
      <c r="F64" s="15"/>
      <c r="G64" s="15"/>
      <c r="H64" s="15"/>
      <c r="I64" s="144" t="s">
        <v>55</v>
      </c>
      <c r="J64" s="171">
        <v>1936</v>
      </c>
      <c r="K64" s="171">
        <f t="shared" ca="1" si="42"/>
        <v>1936</v>
      </c>
      <c r="L64" s="171"/>
      <c r="M64" s="171"/>
      <c r="N64" s="171">
        <f t="shared" ca="1" si="43"/>
        <v>0</v>
      </c>
      <c r="O64" s="171">
        <f t="shared" ca="1" si="44"/>
        <v>0</v>
      </c>
      <c r="P64" s="171"/>
      <c r="Q64" s="171"/>
      <c r="R64" s="171">
        <f t="shared" ca="1" si="45"/>
        <v>0</v>
      </c>
      <c r="S64" s="171">
        <f t="shared" ca="1" si="45"/>
        <v>0</v>
      </c>
      <c r="T64" s="171">
        <f t="shared" ca="1" si="46"/>
        <v>188.76</v>
      </c>
      <c r="U64" s="171">
        <f t="shared" ca="1" si="47"/>
        <v>2124.7600000000002</v>
      </c>
      <c r="V64" s="171">
        <f t="shared" ca="1" si="48"/>
        <v>169.98</v>
      </c>
      <c r="W64" s="171">
        <f t="shared" ca="1" si="49"/>
        <v>2294.7400000000002</v>
      </c>
      <c r="X64" s="147"/>
      <c r="Y64" s="148">
        <f t="shared" ca="1" si="50"/>
        <v>0</v>
      </c>
      <c r="AB64" s="172">
        <f t="shared" ca="1" si="51"/>
        <v>0</v>
      </c>
      <c r="AC64" s="172">
        <f t="shared" ca="1" si="52"/>
        <v>0</v>
      </c>
      <c r="AD64" s="172">
        <f t="shared" ca="1" si="53"/>
        <v>0</v>
      </c>
      <c r="AE64" s="172">
        <f t="shared" ca="1" si="54"/>
        <v>0</v>
      </c>
      <c r="AF64" s="172">
        <f t="shared" ca="1" si="55"/>
        <v>0</v>
      </c>
      <c r="AG64" s="172">
        <f t="shared" ca="1" si="56"/>
        <v>0</v>
      </c>
      <c r="AH64" s="149">
        <f t="shared" ca="1" si="57"/>
        <v>0</v>
      </c>
      <c r="AI64" s="172">
        <f t="shared" ca="1" si="58"/>
        <v>0</v>
      </c>
      <c r="AJ64" s="149">
        <f t="shared" ca="1" si="59"/>
        <v>0</v>
      </c>
      <c r="AK64" s="150"/>
      <c r="AL64" s="151">
        <f t="shared" ca="1" si="60"/>
        <v>0</v>
      </c>
      <c r="AM64" s="152"/>
      <c r="AP64" s="29" t="str">
        <f t="shared" ca="1" si="34"/>
        <v>1</v>
      </c>
      <c r="AQ64" s="29" t="str">
        <f t="shared" ca="1" si="35"/>
        <v>0</v>
      </c>
    </row>
    <row r="65" spans="2:43">
      <c r="B65" s="170" t="s">
        <v>87</v>
      </c>
      <c r="C65" s="15"/>
      <c r="D65" s="15"/>
      <c r="E65" s="15"/>
      <c r="F65" s="15"/>
      <c r="G65" s="15"/>
      <c r="H65" s="15"/>
      <c r="I65" s="144" t="s">
        <v>54</v>
      </c>
      <c r="J65" s="171">
        <v>22000</v>
      </c>
      <c r="K65" s="171">
        <f t="shared" ca="1" si="42"/>
        <v>22000</v>
      </c>
      <c r="L65" s="171"/>
      <c r="M65" s="171"/>
      <c r="N65" s="171">
        <f t="shared" ca="1" si="43"/>
        <v>0</v>
      </c>
      <c r="O65" s="171">
        <f t="shared" ca="1" si="44"/>
        <v>660</v>
      </c>
      <c r="P65" s="171"/>
      <c r="Q65" s="171"/>
      <c r="R65" s="171">
        <f t="shared" ca="1" si="45"/>
        <v>0</v>
      </c>
      <c r="S65" s="171">
        <f t="shared" ca="1" si="45"/>
        <v>0</v>
      </c>
      <c r="T65" s="171">
        <f t="shared" ca="1" si="46"/>
        <v>64.349999999999994</v>
      </c>
      <c r="U65" s="171">
        <f t="shared" ca="1" si="47"/>
        <v>22724.35</v>
      </c>
      <c r="V65" s="171">
        <f t="shared" ca="1" si="48"/>
        <v>6817.31</v>
      </c>
      <c r="W65" s="171">
        <f t="shared" ca="1" si="49"/>
        <v>29541.66</v>
      </c>
      <c r="X65" s="147">
        <v>1</v>
      </c>
      <c r="Y65" s="148">
        <f t="shared" ca="1" si="50"/>
        <v>29541.66</v>
      </c>
      <c r="AB65" s="172">
        <f t="shared" ca="1" si="51"/>
        <v>22000</v>
      </c>
      <c r="AC65" s="172">
        <f t="shared" ca="1" si="52"/>
        <v>0</v>
      </c>
      <c r="AD65" s="172">
        <f t="shared" ca="1" si="53"/>
        <v>660</v>
      </c>
      <c r="AE65" s="172">
        <f t="shared" ca="1" si="54"/>
        <v>0</v>
      </c>
      <c r="AF65" s="172">
        <f t="shared" ca="1" si="55"/>
        <v>0</v>
      </c>
      <c r="AG65" s="172">
        <f t="shared" ca="1" si="56"/>
        <v>64.349999999999994</v>
      </c>
      <c r="AH65" s="149">
        <f t="shared" ca="1" si="57"/>
        <v>22724.35</v>
      </c>
      <c r="AI65" s="172">
        <f t="shared" ca="1" si="58"/>
        <v>6817.31</v>
      </c>
      <c r="AJ65" s="149">
        <f t="shared" ca="1" si="59"/>
        <v>29541.66</v>
      </c>
      <c r="AK65" s="150"/>
      <c r="AL65" s="151">
        <f t="shared" ca="1" si="60"/>
        <v>0</v>
      </c>
      <c r="AM65" s="152"/>
      <c r="AP65" s="29" t="str">
        <f t="shared" ref="AP65:AP96" ca="1" si="61">IF((OR((W65=""),(W65&gt;0))),"1","0")</f>
        <v>1</v>
      </c>
      <c r="AQ65" s="29" t="str">
        <f t="shared" ref="AQ65:AQ96" ca="1" si="62">IF((OR((Y65=""),(Y65&gt;0))),"1","0")</f>
        <v>1</v>
      </c>
    </row>
    <row r="66" spans="2:43">
      <c r="B66" s="170" t="s">
        <v>83</v>
      </c>
      <c r="C66" s="15"/>
      <c r="D66" s="15"/>
      <c r="E66" s="15"/>
      <c r="F66" s="15"/>
      <c r="G66" s="15"/>
      <c r="H66" s="15"/>
      <c r="I66" s="144" t="s">
        <v>55</v>
      </c>
      <c r="J66" s="171">
        <v>7672</v>
      </c>
      <c r="K66" s="171">
        <f t="shared" ca="1" si="42"/>
        <v>7672</v>
      </c>
      <c r="L66" s="171"/>
      <c r="M66" s="171"/>
      <c r="N66" s="171">
        <f t="shared" ca="1" si="43"/>
        <v>0</v>
      </c>
      <c r="O66" s="171">
        <f t="shared" ca="1" si="44"/>
        <v>0</v>
      </c>
      <c r="P66" s="171"/>
      <c r="Q66" s="171"/>
      <c r="R66" s="171">
        <f t="shared" ca="1" si="45"/>
        <v>0</v>
      </c>
      <c r="S66" s="171">
        <f t="shared" ca="1" si="45"/>
        <v>0</v>
      </c>
      <c r="T66" s="171">
        <f t="shared" ca="1" si="46"/>
        <v>748.02</v>
      </c>
      <c r="U66" s="171">
        <f t="shared" ca="1" si="47"/>
        <v>8420.02</v>
      </c>
      <c r="V66" s="171">
        <f t="shared" ca="1" si="48"/>
        <v>673.6</v>
      </c>
      <c r="W66" s="171">
        <f t="shared" ca="1" si="49"/>
        <v>9093.6200000000008</v>
      </c>
      <c r="X66" s="147"/>
      <c r="Y66" s="148">
        <f t="shared" ca="1" si="50"/>
        <v>0</v>
      </c>
      <c r="AB66" s="172">
        <f t="shared" ca="1" si="51"/>
        <v>0</v>
      </c>
      <c r="AC66" s="172">
        <f t="shared" ca="1" si="52"/>
        <v>0</v>
      </c>
      <c r="AD66" s="172">
        <f t="shared" ca="1" si="53"/>
        <v>0</v>
      </c>
      <c r="AE66" s="172">
        <f t="shared" ca="1" si="54"/>
        <v>0</v>
      </c>
      <c r="AF66" s="172">
        <f t="shared" ca="1" si="55"/>
        <v>0</v>
      </c>
      <c r="AG66" s="172">
        <f t="shared" ca="1" si="56"/>
        <v>0</v>
      </c>
      <c r="AH66" s="149">
        <f t="shared" ca="1" si="57"/>
        <v>0</v>
      </c>
      <c r="AI66" s="172">
        <f t="shared" ca="1" si="58"/>
        <v>0</v>
      </c>
      <c r="AJ66" s="149">
        <f t="shared" ca="1" si="59"/>
        <v>0</v>
      </c>
      <c r="AK66" s="150"/>
      <c r="AL66" s="151">
        <f t="shared" ca="1" si="60"/>
        <v>0</v>
      </c>
      <c r="AM66" s="152"/>
      <c r="AP66" s="29" t="str">
        <f t="shared" ca="1" si="61"/>
        <v>1</v>
      </c>
      <c r="AQ66" s="29" t="str">
        <f t="shared" ca="1" si="62"/>
        <v>0</v>
      </c>
    </row>
    <row r="67" spans="2:43">
      <c r="B67" s="170" t="s">
        <v>88</v>
      </c>
      <c r="C67" s="15"/>
      <c r="D67" s="15"/>
      <c r="E67" s="15"/>
      <c r="F67" s="15"/>
      <c r="G67" s="15"/>
      <c r="H67" s="15"/>
      <c r="I67" s="144" t="s">
        <v>54</v>
      </c>
      <c r="J67" s="171">
        <v>5500</v>
      </c>
      <c r="K67" s="171">
        <f t="shared" ca="1" si="42"/>
        <v>5500</v>
      </c>
      <c r="L67" s="171"/>
      <c r="M67" s="171"/>
      <c r="N67" s="171">
        <f t="shared" ca="1" si="43"/>
        <v>0</v>
      </c>
      <c r="O67" s="171">
        <f t="shared" ca="1" si="44"/>
        <v>165</v>
      </c>
      <c r="P67" s="171"/>
      <c r="Q67" s="171"/>
      <c r="R67" s="171">
        <f t="shared" ca="1" si="45"/>
        <v>0</v>
      </c>
      <c r="S67" s="171">
        <f t="shared" ca="1" si="45"/>
        <v>0</v>
      </c>
      <c r="T67" s="171">
        <f t="shared" ca="1" si="46"/>
        <v>16.09</v>
      </c>
      <c r="U67" s="171">
        <f t="shared" ca="1" si="47"/>
        <v>5681.09</v>
      </c>
      <c r="V67" s="171">
        <f t="shared" ca="1" si="48"/>
        <v>1704.33</v>
      </c>
      <c r="W67" s="171">
        <f t="shared" ca="1" si="49"/>
        <v>7385.42</v>
      </c>
      <c r="X67" s="147">
        <v>1</v>
      </c>
      <c r="Y67" s="148">
        <f t="shared" ca="1" si="50"/>
        <v>7385.42</v>
      </c>
      <c r="AB67" s="172">
        <f t="shared" ca="1" si="51"/>
        <v>5500</v>
      </c>
      <c r="AC67" s="172">
        <f t="shared" ca="1" si="52"/>
        <v>0</v>
      </c>
      <c r="AD67" s="172">
        <f t="shared" ca="1" si="53"/>
        <v>165</v>
      </c>
      <c r="AE67" s="172">
        <f t="shared" ca="1" si="54"/>
        <v>0</v>
      </c>
      <c r="AF67" s="172">
        <f t="shared" ca="1" si="55"/>
        <v>0</v>
      </c>
      <c r="AG67" s="172">
        <f t="shared" ca="1" si="56"/>
        <v>16.09</v>
      </c>
      <c r="AH67" s="149">
        <f t="shared" ca="1" si="57"/>
        <v>5681.09</v>
      </c>
      <c r="AI67" s="172">
        <f t="shared" ca="1" si="58"/>
        <v>1704.33</v>
      </c>
      <c r="AJ67" s="149">
        <f t="shared" ca="1" si="59"/>
        <v>7385.42</v>
      </c>
      <c r="AK67" s="150"/>
      <c r="AL67" s="151">
        <f t="shared" ca="1" si="60"/>
        <v>0</v>
      </c>
      <c r="AM67" s="152"/>
      <c r="AP67" s="29" t="str">
        <f t="shared" ca="1" si="61"/>
        <v>1</v>
      </c>
      <c r="AQ67" s="29" t="str">
        <f t="shared" ca="1" si="62"/>
        <v>1</v>
      </c>
    </row>
    <row r="68" spans="2:43">
      <c r="B68" s="170" t="s">
        <v>83</v>
      </c>
      <c r="C68" s="15"/>
      <c r="D68" s="15"/>
      <c r="E68" s="15"/>
      <c r="F68" s="15"/>
      <c r="G68" s="15"/>
      <c r="H68" s="15"/>
      <c r="I68" s="144" t="s">
        <v>55</v>
      </c>
      <c r="J68" s="171">
        <v>1824</v>
      </c>
      <c r="K68" s="171">
        <f t="shared" ca="1" si="42"/>
        <v>1824</v>
      </c>
      <c r="L68" s="171"/>
      <c r="M68" s="171"/>
      <c r="N68" s="171">
        <f t="shared" ca="1" si="43"/>
        <v>0</v>
      </c>
      <c r="O68" s="171">
        <f t="shared" ca="1" si="44"/>
        <v>0</v>
      </c>
      <c r="P68" s="171"/>
      <c r="Q68" s="171"/>
      <c r="R68" s="171">
        <f t="shared" ca="1" si="45"/>
        <v>0</v>
      </c>
      <c r="S68" s="171">
        <f t="shared" ca="1" si="45"/>
        <v>0</v>
      </c>
      <c r="T68" s="171">
        <f t="shared" ca="1" si="46"/>
        <v>177.84</v>
      </c>
      <c r="U68" s="171">
        <f t="shared" ca="1" si="47"/>
        <v>2001.84</v>
      </c>
      <c r="V68" s="171">
        <f t="shared" ca="1" si="48"/>
        <v>160.15</v>
      </c>
      <c r="W68" s="171">
        <f t="shared" ca="1" si="49"/>
        <v>2161.9899999999998</v>
      </c>
      <c r="X68" s="147"/>
      <c r="Y68" s="148">
        <f t="shared" ca="1" si="50"/>
        <v>0</v>
      </c>
      <c r="AB68" s="172">
        <f t="shared" ca="1" si="51"/>
        <v>0</v>
      </c>
      <c r="AC68" s="172">
        <f t="shared" ca="1" si="52"/>
        <v>0</v>
      </c>
      <c r="AD68" s="172">
        <f t="shared" ca="1" si="53"/>
        <v>0</v>
      </c>
      <c r="AE68" s="172">
        <f t="shared" ca="1" si="54"/>
        <v>0</v>
      </c>
      <c r="AF68" s="172">
        <f t="shared" ca="1" si="55"/>
        <v>0</v>
      </c>
      <c r="AG68" s="172">
        <f t="shared" ca="1" si="56"/>
        <v>0</v>
      </c>
      <c r="AH68" s="149">
        <f t="shared" ca="1" si="57"/>
        <v>0</v>
      </c>
      <c r="AI68" s="172">
        <f t="shared" ca="1" si="58"/>
        <v>0</v>
      </c>
      <c r="AJ68" s="149">
        <f t="shared" ca="1" si="59"/>
        <v>0</v>
      </c>
      <c r="AK68" s="150"/>
      <c r="AL68" s="151">
        <f t="shared" ca="1" si="60"/>
        <v>0</v>
      </c>
      <c r="AM68" s="152"/>
      <c r="AP68" s="29" t="str">
        <f t="shared" ca="1" si="61"/>
        <v>1</v>
      </c>
      <c r="AQ68" s="29" t="str">
        <f t="shared" ca="1" si="62"/>
        <v>0</v>
      </c>
    </row>
    <row r="69" spans="2:43">
      <c r="B69" s="170" t="s">
        <v>89</v>
      </c>
      <c r="C69" s="15"/>
      <c r="D69" s="15"/>
      <c r="E69" s="15"/>
      <c r="F69" s="15"/>
      <c r="G69" s="15"/>
      <c r="H69" s="15"/>
      <c r="I69" s="144" t="s">
        <v>54</v>
      </c>
      <c r="J69" s="171">
        <v>99</v>
      </c>
      <c r="K69" s="171">
        <f t="shared" ca="1" si="42"/>
        <v>99</v>
      </c>
      <c r="L69" s="171"/>
      <c r="M69" s="171"/>
      <c r="N69" s="171">
        <f t="shared" ca="1" si="43"/>
        <v>0</v>
      </c>
      <c r="O69" s="171">
        <f t="shared" ca="1" si="44"/>
        <v>2.97</v>
      </c>
      <c r="P69" s="171"/>
      <c r="Q69" s="171"/>
      <c r="R69" s="171">
        <f t="shared" ca="1" si="45"/>
        <v>0</v>
      </c>
      <c r="S69" s="171">
        <f t="shared" ca="1" si="45"/>
        <v>0</v>
      </c>
      <c r="T69" s="171">
        <f t="shared" ca="1" si="46"/>
        <v>0.28999999999999998</v>
      </c>
      <c r="U69" s="171">
        <f t="shared" ca="1" si="47"/>
        <v>102.26</v>
      </c>
      <c r="V69" s="171">
        <f t="shared" ca="1" si="48"/>
        <v>30.68</v>
      </c>
      <c r="W69" s="171">
        <f t="shared" ca="1" si="49"/>
        <v>132.94</v>
      </c>
      <c r="X69" s="147">
        <v>3</v>
      </c>
      <c r="Y69" s="148">
        <f ca="1">$W69*$X69</f>
        <v>398.82</v>
      </c>
      <c r="AB69" s="172">
        <f t="shared" ca="1" si="51"/>
        <v>297</v>
      </c>
      <c r="AC69" s="172">
        <f t="shared" ca="1" si="52"/>
        <v>0</v>
      </c>
      <c r="AD69" s="172">
        <f t="shared" ca="1" si="53"/>
        <v>8.91</v>
      </c>
      <c r="AE69" s="172">
        <f t="shared" ca="1" si="54"/>
        <v>0</v>
      </c>
      <c r="AF69" s="172">
        <f t="shared" ca="1" si="55"/>
        <v>0</v>
      </c>
      <c r="AG69" s="172">
        <f t="shared" ca="1" si="56"/>
        <v>0.86999999999999988</v>
      </c>
      <c r="AH69" s="149">
        <f t="shared" ca="1" si="57"/>
        <v>306.78000000000003</v>
      </c>
      <c r="AI69" s="172">
        <f t="shared" ca="1" si="58"/>
        <v>92.039999999999992</v>
      </c>
      <c r="AJ69" s="149">
        <f t="shared" ca="1" si="59"/>
        <v>398.82000000000005</v>
      </c>
      <c r="AK69" s="150"/>
      <c r="AL69" s="151">
        <f t="shared" ca="1" si="60"/>
        <v>0</v>
      </c>
      <c r="AM69" s="152"/>
      <c r="AP69" s="29" t="str">
        <f t="shared" ca="1" si="61"/>
        <v>1</v>
      </c>
      <c r="AQ69" s="29" t="str">
        <f t="shared" ca="1" si="62"/>
        <v>1</v>
      </c>
    </row>
    <row r="70" spans="2:43">
      <c r="B70" s="170" t="s">
        <v>90</v>
      </c>
      <c r="C70" s="15"/>
      <c r="D70" s="15"/>
      <c r="E70" s="15"/>
      <c r="F70" s="15"/>
      <c r="G70" s="15"/>
      <c r="H70" s="15"/>
      <c r="I70" s="144" t="s">
        <v>54</v>
      </c>
      <c r="J70" s="171">
        <v>2500</v>
      </c>
      <c r="K70" s="171">
        <f t="shared" ca="1" si="42"/>
        <v>2500</v>
      </c>
      <c r="L70" s="171"/>
      <c r="M70" s="171"/>
      <c r="N70" s="171">
        <f t="shared" ca="1" si="43"/>
        <v>0</v>
      </c>
      <c r="O70" s="171">
        <f t="shared" ca="1" si="44"/>
        <v>75</v>
      </c>
      <c r="P70" s="171"/>
      <c r="Q70" s="171"/>
      <c r="R70" s="171">
        <f t="shared" ca="1" si="45"/>
        <v>0</v>
      </c>
      <c r="S70" s="171">
        <f t="shared" ca="1" si="45"/>
        <v>0</v>
      </c>
      <c r="T70" s="171">
        <f t="shared" ca="1" si="46"/>
        <v>7.31</v>
      </c>
      <c r="U70" s="171">
        <f t="shared" ca="1" si="47"/>
        <v>2582.31</v>
      </c>
      <c r="V70" s="171">
        <f t="shared" ca="1" si="48"/>
        <v>774.69</v>
      </c>
      <c r="W70" s="171">
        <f t="shared" ca="1" si="49"/>
        <v>3357</v>
      </c>
      <c r="X70" s="147">
        <v>1</v>
      </c>
      <c r="Y70" s="148">
        <f t="shared" ca="1" si="50"/>
        <v>3357</v>
      </c>
      <c r="AB70" s="172">
        <f t="shared" ca="1" si="51"/>
        <v>2500</v>
      </c>
      <c r="AC70" s="172">
        <f t="shared" ca="1" si="52"/>
        <v>0</v>
      </c>
      <c r="AD70" s="172">
        <f t="shared" ca="1" si="53"/>
        <v>75</v>
      </c>
      <c r="AE70" s="172">
        <f t="shared" ca="1" si="54"/>
        <v>0</v>
      </c>
      <c r="AF70" s="172">
        <f t="shared" ca="1" si="55"/>
        <v>0</v>
      </c>
      <c r="AG70" s="172">
        <f t="shared" ca="1" si="56"/>
        <v>7.31</v>
      </c>
      <c r="AH70" s="149">
        <f t="shared" ca="1" si="57"/>
        <v>2582.31</v>
      </c>
      <c r="AI70" s="172">
        <f t="shared" ca="1" si="58"/>
        <v>774.69</v>
      </c>
      <c r="AJ70" s="149">
        <f t="shared" ca="1" si="59"/>
        <v>3357</v>
      </c>
      <c r="AK70" s="150"/>
      <c r="AL70" s="151">
        <f t="shared" ca="1" si="60"/>
        <v>0</v>
      </c>
      <c r="AM70" s="152"/>
      <c r="AP70" s="29" t="str">
        <f t="shared" ca="1" si="61"/>
        <v>1</v>
      </c>
      <c r="AQ70" s="29" t="str">
        <f t="shared" ca="1" si="62"/>
        <v>1</v>
      </c>
    </row>
    <row r="71" spans="2:43">
      <c r="B71" s="170" t="s">
        <v>91</v>
      </c>
      <c r="C71" s="15"/>
      <c r="D71" s="15"/>
      <c r="E71" s="15"/>
      <c r="F71" s="15"/>
      <c r="G71" s="15"/>
      <c r="H71" s="15"/>
      <c r="I71" s="144" t="s">
        <v>54</v>
      </c>
      <c r="J71" s="171">
        <v>4500.51</v>
      </c>
      <c r="K71" s="171">
        <f t="shared" ca="1" si="42"/>
        <v>4500.51</v>
      </c>
      <c r="L71" s="171"/>
      <c r="M71" s="171"/>
      <c r="N71" s="171">
        <f t="shared" ca="1" si="43"/>
        <v>0</v>
      </c>
      <c r="O71" s="171">
        <f t="shared" ca="1" si="44"/>
        <v>135.02000000000001</v>
      </c>
      <c r="P71" s="171"/>
      <c r="Q71" s="171"/>
      <c r="R71" s="171">
        <f t="shared" ca="1" si="45"/>
        <v>0</v>
      </c>
      <c r="S71" s="171">
        <f t="shared" ca="1" si="45"/>
        <v>0</v>
      </c>
      <c r="T71" s="171">
        <f t="shared" ca="1" si="46"/>
        <v>13.16</v>
      </c>
      <c r="U71" s="171">
        <f t="shared" ca="1" si="47"/>
        <v>4648.6900000000005</v>
      </c>
      <c r="V71" s="171">
        <f t="shared" ca="1" si="48"/>
        <v>1394.61</v>
      </c>
      <c r="W71" s="171">
        <f t="shared" ca="1" si="49"/>
        <v>6043.3</v>
      </c>
      <c r="X71" s="147">
        <v>1</v>
      </c>
      <c r="Y71" s="148">
        <f t="shared" ca="1" si="50"/>
        <v>6043.3</v>
      </c>
      <c r="AB71" s="172">
        <f t="shared" ca="1" si="51"/>
        <v>4500.51</v>
      </c>
      <c r="AC71" s="172">
        <f t="shared" ca="1" si="52"/>
        <v>0</v>
      </c>
      <c r="AD71" s="172">
        <f t="shared" ca="1" si="53"/>
        <v>135.02000000000001</v>
      </c>
      <c r="AE71" s="172">
        <f t="shared" ca="1" si="54"/>
        <v>0</v>
      </c>
      <c r="AF71" s="172">
        <f t="shared" ca="1" si="55"/>
        <v>0</v>
      </c>
      <c r="AG71" s="172">
        <f t="shared" ca="1" si="56"/>
        <v>13.16</v>
      </c>
      <c r="AH71" s="149">
        <f t="shared" ca="1" si="57"/>
        <v>4648.6900000000005</v>
      </c>
      <c r="AI71" s="172">
        <f t="shared" ca="1" si="58"/>
        <v>1394.61</v>
      </c>
      <c r="AJ71" s="149">
        <f t="shared" ca="1" si="59"/>
        <v>6043.3</v>
      </c>
      <c r="AK71" s="150"/>
      <c r="AL71" s="151">
        <f t="shared" ca="1" si="60"/>
        <v>0</v>
      </c>
      <c r="AM71" s="152"/>
      <c r="AP71" s="29" t="str">
        <f t="shared" ca="1" si="61"/>
        <v>1</v>
      </c>
      <c r="AQ71" s="29" t="str">
        <f t="shared" ca="1" si="62"/>
        <v>1</v>
      </c>
    </row>
    <row r="72" spans="2:43">
      <c r="B72" s="170" t="s">
        <v>92</v>
      </c>
      <c r="C72" s="15"/>
      <c r="D72" s="15"/>
      <c r="E72" s="15"/>
      <c r="F72" s="15"/>
      <c r="G72" s="15"/>
      <c r="H72" s="15"/>
      <c r="I72" s="144" t="s">
        <v>55</v>
      </c>
      <c r="J72" s="171">
        <v>0</v>
      </c>
      <c r="K72" s="171">
        <f t="shared" ca="1" si="42"/>
        <v>0</v>
      </c>
      <c r="L72" s="171"/>
      <c r="M72" s="171"/>
      <c r="N72" s="171">
        <f t="shared" ca="1" si="43"/>
        <v>0</v>
      </c>
      <c r="O72" s="171">
        <f t="shared" ca="1" si="44"/>
        <v>0</v>
      </c>
      <c r="P72" s="171"/>
      <c r="Q72" s="171"/>
      <c r="R72" s="171">
        <f t="shared" ca="1" si="45"/>
        <v>0</v>
      </c>
      <c r="S72" s="171">
        <f t="shared" ca="1" si="45"/>
        <v>0</v>
      </c>
      <c r="T72" s="171">
        <f t="shared" ca="1" si="46"/>
        <v>0</v>
      </c>
      <c r="U72" s="171">
        <f t="shared" ca="1" si="47"/>
        <v>0</v>
      </c>
      <c r="V72" s="171">
        <f t="shared" ca="1" si="48"/>
        <v>0</v>
      </c>
      <c r="W72" s="171">
        <f t="shared" ca="1" si="49"/>
        <v>0</v>
      </c>
      <c r="X72" s="147">
        <v>1</v>
      </c>
      <c r="Y72" s="148">
        <f t="shared" ca="1" si="50"/>
        <v>0</v>
      </c>
      <c r="AB72" s="172">
        <f t="shared" ca="1" si="51"/>
        <v>0</v>
      </c>
      <c r="AC72" s="172">
        <f t="shared" ca="1" si="52"/>
        <v>0</v>
      </c>
      <c r="AD72" s="172">
        <f t="shared" ca="1" si="53"/>
        <v>0</v>
      </c>
      <c r="AE72" s="172">
        <f t="shared" ca="1" si="54"/>
        <v>0</v>
      </c>
      <c r="AF72" s="172">
        <f t="shared" ca="1" si="55"/>
        <v>0</v>
      </c>
      <c r="AG72" s="172">
        <f t="shared" ca="1" si="56"/>
        <v>0</v>
      </c>
      <c r="AH72" s="149">
        <f t="shared" ca="1" si="57"/>
        <v>0</v>
      </c>
      <c r="AI72" s="172">
        <f t="shared" ca="1" si="58"/>
        <v>0</v>
      </c>
      <c r="AJ72" s="149">
        <f t="shared" ca="1" si="59"/>
        <v>0</v>
      </c>
      <c r="AK72" s="150"/>
      <c r="AL72" s="151">
        <f t="shared" ca="1" si="60"/>
        <v>0</v>
      </c>
      <c r="AM72" s="152"/>
      <c r="AP72" s="29" t="str">
        <f t="shared" ca="1" si="61"/>
        <v>0</v>
      </c>
      <c r="AQ72" s="29" t="str">
        <f t="shared" ca="1" si="62"/>
        <v>0</v>
      </c>
    </row>
    <row r="73" spans="2:43">
      <c r="B73" s="173" t="s">
        <v>155</v>
      </c>
      <c r="C73" s="15"/>
      <c r="D73" s="15"/>
      <c r="E73" s="15"/>
      <c r="F73" s="15"/>
      <c r="G73" s="15"/>
      <c r="H73" s="15"/>
      <c r="I73" s="144" t="s">
        <v>55</v>
      </c>
      <c r="J73" s="171">
        <v>15525</v>
      </c>
      <c r="K73" s="171">
        <f t="shared" ca="1" si="42"/>
        <v>15525</v>
      </c>
      <c r="L73" s="171"/>
      <c r="M73" s="171"/>
      <c r="N73" s="171">
        <f t="shared" ca="1" si="43"/>
        <v>0</v>
      </c>
      <c r="O73" s="171">
        <f t="shared" ca="1" si="44"/>
        <v>0</v>
      </c>
      <c r="P73" s="171"/>
      <c r="Q73" s="171"/>
      <c r="R73" s="171">
        <f t="shared" ca="1" si="45"/>
        <v>0</v>
      </c>
      <c r="S73" s="171">
        <f t="shared" ca="1" si="45"/>
        <v>0</v>
      </c>
      <c r="T73" s="171">
        <f t="shared" ca="1" si="46"/>
        <v>1513.69</v>
      </c>
      <c r="U73" s="171">
        <f t="shared" ca="1" si="47"/>
        <v>17038.689999999999</v>
      </c>
      <c r="V73" s="171">
        <f t="shared" ca="1" si="48"/>
        <v>1363.1</v>
      </c>
      <c r="W73" s="171">
        <f t="shared" ca="1" si="49"/>
        <v>18401.789999999997</v>
      </c>
      <c r="X73" s="147">
        <v>1</v>
      </c>
      <c r="Y73" s="148"/>
      <c r="AB73" s="172">
        <f t="shared" ca="1" si="51"/>
        <v>15525</v>
      </c>
      <c r="AC73" s="172">
        <f t="shared" ca="1" si="52"/>
        <v>0</v>
      </c>
      <c r="AD73" s="172">
        <f t="shared" ca="1" si="53"/>
        <v>0</v>
      </c>
      <c r="AE73" s="172">
        <f t="shared" ca="1" si="54"/>
        <v>0</v>
      </c>
      <c r="AF73" s="172">
        <f t="shared" ca="1" si="55"/>
        <v>0</v>
      </c>
      <c r="AG73" s="172">
        <f t="shared" ca="1" si="56"/>
        <v>1513.69</v>
      </c>
      <c r="AH73" s="149">
        <f t="shared" ca="1" si="57"/>
        <v>17038.689999999999</v>
      </c>
      <c r="AI73" s="172">
        <f t="shared" ca="1" si="58"/>
        <v>1363.1</v>
      </c>
      <c r="AJ73" s="149">
        <f t="shared" ca="1" si="59"/>
        <v>18401.789999999997</v>
      </c>
      <c r="AK73" s="150"/>
      <c r="AL73" s="151">
        <f t="shared" ca="1" si="60"/>
        <v>18401.789999999997</v>
      </c>
      <c r="AM73" s="152"/>
      <c r="AP73" s="29" t="str">
        <f t="shared" ca="1" si="61"/>
        <v>1</v>
      </c>
      <c r="AQ73" s="29" t="str">
        <f t="shared" si="62"/>
        <v>1</v>
      </c>
    </row>
    <row r="74" spans="2:43">
      <c r="B74" s="173" t="s">
        <v>156</v>
      </c>
      <c r="C74" s="15"/>
      <c r="D74" s="15"/>
      <c r="E74" s="15"/>
      <c r="F74" s="15"/>
      <c r="G74" s="15"/>
      <c r="H74" s="15"/>
      <c r="I74" s="144" t="s">
        <v>55</v>
      </c>
      <c r="J74" s="171">
        <v>324</v>
      </c>
      <c r="K74" s="171">
        <f t="shared" ca="1" si="42"/>
        <v>324</v>
      </c>
      <c r="L74" s="171"/>
      <c r="M74" s="171"/>
      <c r="N74" s="171">
        <f t="shared" ca="1" si="43"/>
        <v>0</v>
      </c>
      <c r="O74" s="171">
        <f t="shared" ca="1" si="44"/>
        <v>0</v>
      </c>
      <c r="P74" s="171"/>
      <c r="Q74" s="171"/>
      <c r="R74" s="171">
        <f t="shared" ca="1" si="45"/>
        <v>0</v>
      </c>
      <c r="S74" s="171">
        <f t="shared" ca="1" si="45"/>
        <v>0</v>
      </c>
      <c r="T74" s="171">
        <f t="shared" ca="1" si="46"/>
        <v>31.59</v>
      </c>
      <c r="U74" s="171">
        <f t="shared" ca="1" si="47"/>
        <v>355.59</v>
      </c>
      <c r="V74" s="171">
        <f t="shared" ca="1" si="48"/>
        <v>28.45</v>
      </c>
      <c r="W74" s="171">
        <f t="shared" ca="1" si="49"/>
        <v>384.03999999999996</v>
      </c>
      <c r="X74" s="147">
        <v>1</v>
      </c>
      <c r="Y74" s="148"/>
      <c r="AB74" s="172">
        <f t="shared" ca="1" si="51"/>
        <v>324</v>
      </c>
      <c r="AC74" s="172">
        <f t="shared" ca="1" si="52"/>
        <v>0</v>
      </c>
      <c r="AD74" s="172">
        <f t="shared" ca="1" si="53"/>
        <v>0</v>
      </c>
      <c r="AE74" s="172">
        <f t="shared" ca="1" si="54"/>
        <v>0</v>
      </c>
      <c r="AF74" s="172">
        <f t="shared" ca="1" si="55"/>
        <v>0</v>
      </c>
      <c r="AG74" s="172">
        <f t="shared" ca="1" si="56"/>
        <v>31.59</v>
      </c>
      <c r="AH74" s="149">
        <f t="shared" ca="1" si="57"/>
        <v>355.59</v>
      </c>
      <c r="AI74" s="172">
        <f t="shared" ca="1" si="58"/>
        <v>28.45</v>
      </c>
      <c r="AJ74" s="149">
        <f t="shared" ca="1" si="59"/>
        <v>384.03999999999996</v>
      </c>
      <c r="AK74" s="150"/>
      <c r="AL74" s="151">
        <f t="shared" ca="1" si="60"/>
        <v>384.03999999999996</v>
      </c>
      <c r="AM74" s="152"/>
      <c r="AP74" s="29" t="str">
        <f t="shared" ca="1" si="61"/>
        <v>1</v>
      </c>
      <c r="AQ74" s="29" t="str">
        <f t="shared" si="62"/>
        <v>1</v>
      </c>
    </row>
    <row r="75" spans="2:43">
      <c r="B75" s="170" t="s">
        <v>161</v>
      </c>
      <c r="C75" s="15"/>
      <c r="D75" s="15"/>
      <c r="E75" s="15"/>
      <c r="F75" s="15"/>
      <c r="G75" s="15"/>
      <c r="H75" s="15"/>
      <c r="I75" s="144" t="s">
        <v>55</v>
      </c>
      <c r="J75" s="171">
        <v>150</v>
      </c>
      <c r="K75" s="171">
        <f t="shared" ca="1" si="42"/>
        <v>150</v>
      </c>
      <c r="L75" s="171"/>
      <c r="M75" s="171"/>
      <c r="N75" s="171">
        <f t="shared" ca="1" si="43"/>
        <v>0</v>
      </c>
      <c r="O75" s="171">
        <f t="shared" ca="1" si="44"/>
        <v>0</v>
      </c>
      <c r="P75" s="171"/>
      <c r="Q75" s="171"/>
      <c r="R75" s="171">
        <f t="shared" ca="1" si="45"/>
        <v>0</v>
      </c>
      <c r="S75" s="171">
        <f t="shared" ca="1" si="45"/>
        <v>0</v>
      </c>
      <c r="T75" s="171">
        <f t="shared" ca="1" si="46"/>
        <v>14.63</v>
      </c>
      <c r="U75" s="171">
        <f t="shared" ca="1" si="47"/>
        <v>164.63</v>
      </c>
      <c r="V75" s="171">
        <f t="shared" ca="1" si="48"/>
        <v>13.17</v>
      </c>
      <c r="W75" s="171">
        <f t="shared" ca="1" si="49"/>
        <v>177.79999999999998</v>
      </c>
      <c r="X75" s="147">
        <v>42</v>
      </c>
      <c r="Y75" s="148">
        <f t="shared" ref="Y75:Y91" ca="1" si="63">$W75*$X75</f>
        <v>7467.5999999999995</v>
      </c>
      <c r="AB75" s="172">
        <f t="shared" ca="1" si="51"/>
        <v>6300</v>
      </c>
      <c r="AC75" s="172">
        <f t="shared" ca="1" si="52"/>
        <v>0</v>
      </c>
      <c r="AD75" s="172">
        <f t="shared" ca="1" si="53"/>
        <v>0</v>
      </c>
      <c r="AE75" s="172">
        <f t="shared" ca="1" si="54"/>
        <v>0</v>
      </c>
      <c r="AF75" s="172">
        <f t="shared" ca="1" si="55"/>
        <v>0</v>
      </c>
      <c r="AG75" s="172">
        <f t="shared" ca="1" si="56"/>
        <v>614.46</v>
      </c>
      <c r="AH75" s="149">
        <f t="shared" ca="1" si="57"/>
        <v>6914.46</v>
      </c>
      <c r="AI75" s="172">
        <f t="shared" ca="1" si="58"/>
        <v>553.14</v>
      </c>
      <c r="AJ75" s="149">
        <f t="shared" ca="1" si="59"/>
        <v>7467.6</v>
      </c>
      <c r="AK75" s="150"/>
      <c r="AL75" s="151">
        <f t="shared" ca="1" si="60"/>
        <v>0</v>
      </c>
      <c r="AM75" s="152"/>
      <c r="AP75" s="29" t="str">
        <f t="shared" ca="1" si="61"/>
        <v>1</v>
      </c>
      <c r="AQ75" s="29" t="str">
        <f t="shared" ca="1" si="62"/>
        <v>1</v>
      </c>
    </row>
    <row r="76" spans="2:43">
      <c r="B76" s="207" t="s">
        <v>93</v>
      </c>
      <c r="C76" s="15" t="s">
        <v>160</v>
      </c>
      <c r="D76" s="15"/>
      <c r="E76" s="15"/>
      <c r="F76" s="15"/>
      <c r="G76" s="15"/>
      <c r="H76" s="174">
        <v>232</v>
      </c>
      <c r="I76" s="144" t="s">
        <v>55</v>
      </c>
      <c r="J76" s="171">
        <v>232</v>
      </c>
      <c r="K76" s="171">
        <f t="shared" ca="1" si="42"/>
        <v>232</v>
      </c>
      <c r="L76" s="171"/>
      <c r="M76" s="171"/>
      <c r="N76" s="171">
        <f t="shared" ca="1" si="43"/>
        <v>0</v>
      </c>
      <c r="O76" s="171">
        <f t="shared" ca="1" si="44"/>
        <v>0</v>
      </c>
      <c r="P76" s="171"/>
      <c r="Q76" s="171"/>
      <c r="R76" s="171">
        <f t="shared" ca="1" si="45"/>
        <v>0</v>
      </c>
      <c r="S76" s="171">
        <f t="shared" ca="1" si="45"/>
        <v>0</v>
      </c>
      <c r="T76" s="171">
        <f t="shared" ca="1" si="46"/>
        <v>22.62</v>
      </c>
      <c r="U76" s="171">
        <f t="shared" ca="1" si="47"/>
        <v>254.62</v>
      </c>
      <c r="V76" s="171">
        <f t="shared" ca="1" si="48"/>
        <v>20.37</v>
      </c>
      <c r="W76" s="171">
        <f t="shared" ca="1" si="49"/>
        <v>274.99</v>
      </c>
      <c r="X76" s="147">
        <v>18</v>
      </c>
      <c r="Y76" s="148">
        <f t="shared" ca="1" si="63"/>
        <v>4949.82</v>
      </c>
      <c r="AB76" s="172">
        <f t="shared" ca="1" si="51"/>
        <v>4176</v>
      </c>
      <c r="AC76" s="172">
        <f t="shared" ca="1" si="52"/>
        <v>0</v>
      </c>
      <c r="AD76" s="172">
        <f t="shared" ca="1" si="53"/>
        <v>0</v>
      </c>
      <c r="AE76" s="172">
        <f t="shared" ca="1" si="54"/>
        <v>0</v>
      </c>
      <c r="AF76" s="172">
        <f t="shared" ca="1" si="55"/>
        <v>0</v>
      </c>
      <c r="AG76" s="172">
        <f t="shared" ca="1" si="56"/>
        <v>407.16</v>
      </c>
      <c r="AH76" s="149">
        <f t="shared" ca="1" si="57"/>
        <v>4583.16</v>
      </c>
      <c r="AI76" s="172">
        <f t="shared" ca="1" si="58"/>
        <v>366.66</v>
      </c>
      <c r="AJ76" s="149">
        <f t="shared" ca="1" si="59"/>
        <v>4949.82</v>
      </c>
      <c r="AK76" s="150"/>
      <c r="AL76" s="151">
        <f t="shared" ca="1" si="60"/>
        <v>0</v>
      </c>
      <c r="AM76" s="152"/>
      <c r="AP76" s="29" t="str">
        <f t="shared" ca="1" si="61"/>
        <v>1</v>
      </c>
      <c r="AQ76" s="29" t="str">
        <f t="shared" ca="1" si="62"/>
        <v>1</v>
      </c>
    </row>
    <row r="77" spans="2:43" hidden="1">
      <c r="B77" s="207" t="s">
        <v>150</v>
      </c>
      <c r="C77" s="15"/>
      <c r="D77" s="15"/>
      <c r="E77" s="15"/>
      <c r="F77" s="15"/>
      <c r="G77" s="15"/>
      <c r="H77" s="174">
        <v>416</v>
      </c>
      <c r="I77" s="144" t="s">
        <v>55</v>
      </c>
      <c r="J77" s="171">
        <v>0</v>
      </c>
      <c r="K77" s="171">
        <f t="shared" ca="1" si="42"/>
        <v>0</v>
      </c>
      <c r="L77" s="171"/>
      <c r="M77" s="171"/>
      <c r="N77" s="171">
        <f t="shared" ca="1" si="43"/>
        <v>0</v>
      </c>
      <c r="O77" s="171">
        <f t="shared" ca="1" si="44"/>
        <v>0</v>
      </c>
      <c r="P77" s="171"/>
      <c r="Q77" s="171"/>
      <c r="R77" s="171">
        <f t="shared" ca="1" si="45"/>
        <v>0</v>
      </c>
      <c r="S77" s="171">
        <f t="shared" ca="1" si="45"/>
        <v>0</v>
      </c>
      <c r="T77" s="171">
        <f t="shared" ca="1" si="46"/>
        <v>0</v>
      </c>
      <c r="U77" s="171">
        <f t="shared" ca="1" si="47"/>
        <v>0</v>
      </c>
      <c r="V77" s="171">
        <f t="shared" ca="1" si="48"/>
        <v>0</v>
      </c>
      <c r="W77" s="171">
        <f t="shared" ca="1" si="49"/>
        <v>0</v>
      </c>
      <c r="X77" s="147">
        <v>1</v>
      </c>
      <c r="Y77" s="148">
        <f t="shared" ca="1" si="63"/>
        <v>0</v>
      </c>
      <c r="AB77" s="172">
        <f t="shared" ca="1" si="51"/>
        <v>0</v>
      </c>
      <c r="AC77" s="172">
        <f t="shared" ca="1" si="52"/>
        <v>0</v>
      </c>
      <c r="AD77" s="172">
        <f t="shared" ca="1" si="53"/>
        <v>0</v>
      </c>
      <c r="AE77" s="172">
        <f t="shared" ca="1" si="54"/>
        <v>0</v>
      </c>
      <c r="AF77" s="172">
        <f t="shared" ca="1" si="55"/>
        <v>0</v>
      </c>
      <c r="AG77" s="172">
        <f t="shared" ca="1" si="56"/>
        <v>0</v>
      </c>
      <c r="AH77" s="149">
        <f t="shared" ca="1" si="57"/>
        <v>0</v>
      </c>
      <c r="AI77" s="172">
        <f t="shared" ca="1" si="58"/>
        <v>0</v>
      </c>
      <c r="AJ77" s="149">
        <f t="shared" ca="1" si="59"/>
        <v>0</v>
      </c>
      <c r="AK77" s="150"/>
      <c r="AL77" s="151">
        <f t="shared" ca="1" si="60"/>
        <v>0</v>
      </c>
      <c r="AM77" s="152"/>
      <c r="AP77" s="29" t="str">
        <f t="shared" ca="1" si="61"/>
        <v>0</v>
      </c>
      <c r="AQ77" s="29" t="str">
        <f t="shared" ca="1" si="62"/>
        <v>0</v>
      </c>
    </row>
    <row r="78" spans="2:43">
      <c r="B78" s="207" t="s">
        <v>157</v>
      </c>
      <c r="C78" s="15"/>
      <c r="D78" s="15"/>
      <c r="E78" s="15"/>
      <c r="F78" s="15"/>
      <c r="G78" s="15"/>
      <c r="H78" s="174">
        <v>54</v>
      </c>
      <c r="I78" s="144" t="s">
        <v>55</v>
      </c>
      <c r="J78" s="171">
        <v>54</v>
      </c>
      <c r="K78" s="171">
        <f t="shared" ca="1" si="42"/>
        <v>54</v>
      </c>
      <c r="L78" s="171"/>
      <c r="M78" s="171"/>
      <c r="N78" s="171">
        <f t="shared" ca="1" si="43"/>
        <v>0</v>
      </c>
      <c r="O78" s="171">
        <f t="shared" ca="1" si="44"/>
        <v>0</v>
      </c>
      <c r="P78" s="171"/>
      <c r="Q78" s="171"/>
      <c r="R78" s="171">
        <f t="shared" ref="R78:S91" ca="1" si="64">ROUND($K78*(VLOOKUP($I78,$I$9:$V$24,R$6,FALSE)),2)</f>
        <v>0</v>
      </c>
      <c r="S78" s="171">
        <f t="shared" ca="1" si="64"/>
        <v>0</v>
      </c>
      <c r="T78" s="171">
        <f t="shared" ca="1" si="46"/>
        <v>5.27</v>
      </c>
      <c r="U78" s="171">
        <f t="shared" ca="1" si="47"/>
        <v>59.269999999999996</v>
      </c>
      <c r="V78" s="171">
        <f t="shared" ca="1" si="48"/>
        <v>4.74</v>
      </c>
      <c r="W78" s="171">
        <f t="shared" ca="1" si="49"/>
        <v>64.009999999999991</v>
      </c>
      <c r="X78" s="147">
        <v>46</v>
      </c>
      <c r="Y78" s="148">
        <f t="shared" ca="1" si="63"/>
        <v>2944.4599999999996</v>
      </c>
      <c r="AB78" s="172">
        <f t="shared" ca="1" si="51"/>
        <v>2484</v>
      </c>
      <c r="AC78" s="172">
        <f t="shared" ca="1" si="52"/>
        <v>0</v>
      </c>
      <c r="AD78" s="172">
        <f t="shared" ca="1" si="53"/>
        <v>0</v>
      </c>
      <c r="AE78" s="172">
        <f t="shared" ca="1" si="54"/>
        <v>0</v>
      </c>
      <c r="AF78" s="172">
        <f t="shared" ca="1" si="55"/>
        <v>0</v>
      </c>
      <c r="AG78" s="172">
        <f t="shared" ca="1" si="56"/>
        <v>242.42</v>
      </c>
      <c r="AH78" s="149">
        <f t="shared" ca="1" si="57"/>
        <v>2726.42</v>
      </c>
      <c r="AI78" s="172">
        <f t="shared" ca="1" si="58"/>
        <v>218.04000000000002</v>
      </c>
      <c r="AJ78" s="149">
        <f t="shared" ca="1" si="59"/>
        <v>2944.46</v>
      </c>
      <c r="AK78" s="150"/>
      <c r="AL78" s="151">
        <f t="shared" ca="1" si="60"/>
        <v>0</v>
      </c>
      <c r="AM78" s="152"/>
      <c r="AP78" s="29" t="str">
        <f t="shared" ca="1" si="61"/>
        <v>1</v>
      </c>
      <c r="AQ78" s="29" t="str">
        <f t="shared" ca="1" si="62"/>
        <v>1</v>
      </c>
    </row>
    <row r="79" spans="2:43" hidden="1">
      <c r="B79" s="170" t="s">
        <v>92</v>
      </c>
      <c r="C79" s="15"/>
      <c r="D79" s="15"/>
      <c r="E79" s="15"/>
      <c r="F79" s="15"/>
      <c r="G79" s="15"/>
      <c r="H79" s="15"/>
      <c r="I79" s="144" t="s">
        <v>55</v>
      </c>
      <c r="J79" s="171">
        <v>0</v>
      </c>
      <c r="K79" s="171">
        <f t="shared" ca="1" si="42"/>
        <v>0</v>
      </c>
      <c r="L79" s="171"/>
      <c r="M79" s="171"/>
      <c r="N79" s="171">
        <f t="shared" ca="1" si="43"/>
        <v>0</v>
      </c>
      <c r="O79" s="171">
        <f t="shared" ca="1" si="44"/>
        <v>0</v>
      </c>
      <c r="P79" s="171"/>
      <c r="Q79" s="171"/>
      <c r="R79" s="171">
        <f t="shared" ca="1" si="64"/>
        <v>0</v>
      </c>
      <c r="S79" s="171">
        <f t="shared" ca="1" si="64"/>
        <v>0</v>
      </c>
      <c r="T79" s="171">
        <f t="shared" ca="1" si="46"/>
        <v>0</v>
      </c>
      <c r="U79" s="171">
        <f t="shared" ca="1" si="47"/>
        <v>0</v>
      </c>
      <c r="V79" s="171">
        <f t="shared" ca="1" si="48"/>
        <v>0</v>
      </c>
      <c r="W79" s="171">
        <f t="shared" ca="1" si="49"/>
        <v>0</v>
      </c>
      <c r="X79" s="147">
        <v>1</v>
      </c>
      <c r="Y79" s="148">
        <f t="shared" ca="1" si="63"/>
        <v>0</v>
      </c>
      <c r="AB79" s="172">
        <f t="shared" ca="1" si="51"/>
        <v>0</v>
      </c>
      <c r="AC79" s="172">
        <f t="shared" ca="1" si="52"/>
        <v>0</v>
      </c>
      <c r="AD79" s="172">
        <f t="shared" ca="1" si="53"/>
        <v>0</v>
      </c>
      <c r="AE79" s="172">
        <f t="shared" ca="1" si="54"/>
        <v>0</v>
      </c>
      <c r="AF79" s="172">
        <f t="shared" ca="1" si="55"/>
        <v>0</v>
      </c>
      <c r="AG79" s="172">
        <f t="shared" ca="1" si="56"/>
        <v>0</v>
      </c>
      <c r="AH79" s="149">
        <f t="shared" ca="1" si="57"/>
        <v>0</v>
      </c>
      <c r="AI79" s="172">
        <f t="shared" ca="1" si="58"/>
        <v>0</v>
      </c>
      <c r="AJ79" s="149">
        <f t="shared" ca="1" si="59"/>
        <v>0</v>
      </c>
      <c r="AK79" s="150"/>
      <c r="AL79" s="151">
        <f t="shared" ca="1" si="60"/>
        <v>0</v>
      </c>
      <c r="AM79" s="152"/>
      <c r="AP79" s="29" t="str">
        <f t="shared" ca="1" si="61"/>
        <v>0</v>
      </c>
      <c r="AQ79" s="29" t="str">
        <f t="shared" ca="1" si="62"/>
        <v>0</v>
      </c>
    </row>
    <row r="80" spans="2:43" hidden="1">
      <c r="B80" s="170" t="s">
        <v>92</v>
      </c>
      <c r="C80" s="15"/>
      <c r="D80" s="15"/>
      <c r="E80" s="15"/>
      <c r="F80" s="15"/>
      <c r="G80" s="15"/>
      <c r="H80" s="15"/>
      <c r="I80" s="144" t="s">
        <v>55</v>
      </c>
      <c r="J80" s="171">
        <v>0</v>
      </c>
      <c r="K80" s="171">
        <f t="shared" ca="1" si="42"/>
        <v>0</v>
      </c>
      <c r="L80" s="171"/>
      <c r="M80" s="171"/>
      <c r="N80" s="171">
        <f t="shared" ca="1" si="43"/>
        <v>0</v>
      </c>
      <c r="O80" s="171">
        <f t="shared" ca="1" si="44"/>
        <v>0</v>
      </c>
      <c r="P80" s="171"/>
      <c r="Q80" s="171"/>
      <c r="R80" s="171">
        <f t="shared" ca="1" si="64"/>
        <v>0</v>
      </c>
      <c r="S80" s="171">
        <f t="shared" ca="1" si="64"/>
        <v>0</v>
      </c>
      <c r="T80" s="171">
        <f t="shared" ca="1" si="46"/>
        <v>0</v>
      </c>
      <c r="U80" s="171">
        <f t="shared" ca="1" si="47"/>
        <v>0</v>
      </c>
      <c r="V80" s="171">
        <f t="shared" ca="1" si="48"/>
        <v>0</v>
      </c>
      <c r="W80" s="171">
        <f t="shared" ca="1" si="49"/>
        <v>0</v>
      </c>
      <c r="X80" s="147">
        <v>1</v>
      </c>
      <c r="Y80" s="148">
        <f t="shared" ca="1" si="63"/>
        <v>0</v>
      </c>
      <c r="AB80" s="172">
        <f t="shared" ca="1" si="51"/>
        <v>0</v>
      </c>
      <c r="AC80" s="172">
        <f t="shared" ca="1" si="52"/>
        <v>0</v>
      </c>
      <c r="AD80" s="172">
        <f t="shared" ca="1" si="53"/>
        <v>0</v>
      </c>
      <c r="AE80" s="172">
        <f t="shared" ca="1" si="54"/>
        <v>0</v>
      </c>
      <c r="AF80" s="172">
        <f t="shared" ca="1" si="55"/>
        <v>0</v>
      </c>
      <c r="AG80" s="172">
        <f t="shared" ca="1" si="56"/>
        <v>0</v>
      </c>
      <c r="AH80" s="149">
        <f t="shared" ca="1" si="57"/>
        <v>0</v>
      </c>
      <c r="AI80" s="172">
        <f t="shared" ca="1" si="58"/>
        <v>0</v>
      </c>
      <c r="AJ80" s="149">
        <f t="shared" ca="1" si="59"/>
        <v>0</v>
      </c>
      <c r="AK80" s="150"/>
      <c r="AL80" s="151">
        <f t="shared" ca="1" si="60"/>
        <v>0</v>
      </c>
      <c r="AM80" s="152"/>
      <c r="AP80" s="29" t="str">
        <f t="shared" ca="1" si="61"/>
        <v>0</v>
      </c>
      <c r="AQ80" s="29" t="str">
        <f t="shared" ca="1" si="62"/>
        <v>0</v>
      </c>
    </row>
    <row r="81" spans="2:43">
      <c r="B81" s="170" t="s">
        <v>158</v>
      </c>
      <c r="C81" s="15"/>
      <c r="D81" s="15"/>
      <c r="E81" s="15"/>
      <c r="F81" s="15"/>
      <c r="G81" s="15"/>
      <c r="H81" s="15"/>
      <c r="I81" s="144" t="s">
        <v>55</v>
      </c>
      <c r="J81" s="171">
        <v>6505</v>
      </c>
      <c r="K81" s="171">
        <f t="shared" ca="1" si="42"/>
        <v>6505</v>
      </c>
      <c r="L81" s="171"/>
      <c r="M81" s="171"/>
      <c r="N81" s="171">
        <f t="shared" ca="1" si="43"/>
        <v>0</v>
      </c>
      <c r="O81" s="171">
        <f t="shared" ca="1" si="44"/>
        <v>0</v>
      </c>
      <c r="P81" s="171"/>
      <c r="Q81" s="171"/>
      <c r="R81" s="171">
        <f t="shared" ca="1" si="64"/>
        <v>0</v>
      </c>
      <c r="S81" s="171">
        <f t="shared" ca="1" si="64"/>
        <v>0</v>
      </c>
      <c r="T81" s="171">
        <f t="shared" ca="1" si="46"/>
        <v>634.24</v>
      </c>
      <c r="U81" s="171">
        <f t="shared" ca="1" si="47"/>
        <v>7139.24</v>
      </c>
      <c r="V81" s="171">
        <f t="shared" ca="1" si="48"/>
        <v>571.14</v>
      </c>
      <c r="W81" s="171">
        <f t="shared" ca="1" si="49"/>
        <v>7710.38</v>
      </c>
      <c r="X81" s="147">
        <v>1</v>
      </c>
      <c r="Y81" s="148">
        <f t="shared" ca="1" si="63"/>
        <v>7710.38</v>
      </c>
      <c r="AB81" s="172">
        <f t="shared" ca="1" si="51"/>
        <v>6505</v>
      </c>
      <c r="AC81" s="172">
        <f t="shared" ca="1" si="52"/>
        <v>0</v>
      </c>
      <c r="AD81" s="172">
        <f t="shared" ca="1" si="53"/>
        <v>0</v>
      </c>
      <c r="AE81" s="172">
        <f t="shared" ca="1" si="54"/>
        <v>0</v>
      </c>
      <c r="AF81" s="172">
        <f t="shared" ca="1" si="55"/>
        <v>0</v>
      </c>
      <c r="AG81" s="172">
        <f t="shared" ca="1" si="56"/>
        <v>634.24</v>
      </c>
      <c r="AH81" s="149">
        <f t="shared" ca="1" si="57"/>
        <v>7139.24</v>
      </c>
      <c r="AI81" s="172">
        <f t="shared" ca="1" si="58"/>
        <v>571.14</v>
      </c>
      <c r="AJ81" s="149">
        <f t="shared" ca="1" si="59"/>
        <v>7710.38</v>
      </c>
      <c r="AK81" s="150"/>
      <c r="AL81" s="151">
        <f t="shared" ca="1" si="60"/>
        <v>0</v>
      </c>
      <c r="AM81" s="152"/>
      <c r="AP81" s="29" t="str">
        <f t="shared" ca="1" si="61"/>
        <v>1</v>
      </c>
      <c r="AQ81" s="29" t="str">
        <f t="shared" ca="1" si="62"/>
        <v>1</v>
      </c>
    </row>
    <row r="82" spans="2:43">
      <c r="B82" s="170" t="s">
        <v>159</v>
      </c>
      <c r="C82" s="15"/>
      <c r="D82" s="15"/>
      <c r="E82" s="15"/>
      <c r="F82" s="15"/>
      <c r="G82" s="15"/>
      <c r="H82" s="15"/>
      <c r="I82" s="144" t="s">
        <v>55</v>
      </c>
      <c r="J82" s="171">
        <v>2400</v>
      </c>
      <c r="K82" s="171">
        <f t="shared" ca="1" si="42"/>
        <v>2400</v>
      </c>
      <c r="L82" s="171"/>
      <c r="M82" s="171"/>
      <c r="N82" s="171">
        <f t="shared" ca="1" si="43"/>
        <v>0</v>
      </c>
      <c r="O82" s="171">
        <f t="shared" ca="1" si="44"/>
        <v>0</v>
      </c>
      <c r="P82" s="171"/>
      <c r="Q82" s="171"/>
      <c r="R82" s="171">
        <f t="shared" ca="1" si="64"/>
        <v>0</v>
      </c>
      <c r="S82" s="171">
        <f t="shared" ca="1" si="64"/>
        <v>0</v>
      </c>
      <c r="T82" s="171">
        <f t="shared" ca="1" si="46"/>
        <v>234</v>
      </c>
      <c r="U82" s="171">
        <f t="shared" ca="1" si="47"/>
        <v>2634</v>
      </c>
      <c r="V82" s="171">
        <f t="shared" ca="1" si="48"/>
        <v>210.72</v>
      </c>
      <c r="W82" s="171">
        <f t="shared" ca="1" si="49"/>
        <v>2844.72</v>
      </c>
      <c r="X82" s="147">
        <v>1</v>
      </c>
      <c r="Y82" s="148">
        <f t="shared" ca="1" si="63"/>
        <v>2844.72</v>
      </c>
      <c r="AB82" s="172">
        <f t="shared" ca="1" si="51"/>
        <v>2400</v>
      </c>
      <c r="AC82" s="172">
        <f t="shared" ca="1" si="52"/>
        <v>0</v>
      </c>
      <c r="AD82" s="172">
        <f t="shared" ca="1" si="53"/>
        <v>0</v>
      </c>
      <c r="AE82" s="172">
        <f t="shared" ca="1" si="54"/>
        <v>0</v>
      </c>
      <c r="AF82" s="172">
        <f t="shared" ca="1" si="55"/>
        <v>0</v>
      </c>
      <c r="AG82" s="172">
        <f t="shared" ca="1" si="56"/>
        <v>234</v>
      </c>
      <c r="AH82" s="149">
        <f t="shared" ca="1" si="57"/>
        <v>2634</v>
      </c>
      <c r="AI82" s="172">
        <f t="shared" ca="1" si="58"/>
        <v>210.72</v>
      </c>
      <c r="AJ82" s="149">
        <f t="shared" ca="1" si="59"/>
        <v>2844.72</v>
      </c>
      <c r="AK82" s="150"/>
      <c r="AL82" s="151">
        <f t="shared" ca="1" si="60"/>
        <v>0</v>
      </c>
      <c r="AM82" s="152"/>
      <c r="AP82" s="29" t="str">
        <f t="shared" ca="1" si="61"/>
        <v>1</v>
      </c>
      <c r="AQ82" s="29" t="str">
        <f t="shared" ca="1" si="62"/>
        <v>1</v>
      </c>
    </row>
    <row r="83" spans="2:43">
      <c r="B83" s="170" t="s">
        <v>150</v>
      </c>
      <c r="C83" s="15"/>
      <c r="D83" s="15"/>
      <c r="E83" s="15"/>
      <c r="F83" s="15"/>
      <c r="G83" s="15"/>
      <c r="H83" s="15"/>
      <c r="I83" s="144" t="s">
        <v>55</v>
      </c>
      <c r="J83" s="171">
        <v>0</v>
      </c>
      <c r="K83" s="171">
        <f t="shared" ca="1" si="42"/>
        <v>0</v>
      </c>
      <c r="L83" s="171"/>
      <c r="M83" s="171"/>
      <c r="N83" s="171">
        <f t="shared" ca="1" si="43"/>
        <v>0</v>
      </c>
      <c r="O83" s="171">
        <f t="shared" ca="1" si="44"/>
        <v>0</v>
      </c>
      <c r="P83" s="171"/>
      <c r="Q83" s="171"/>
      <c r="R83" s="171">
        <f t="shared" ca="1" si="64"/>
        <v>0</v>
      </c>
      <c r="S83" s="171">
        <f t="shared" ca="1" si="64"/>
        <v>0</v>
      </c>
      <c r="T83" s="171">
        <f t="shared" ca="1" si="46"/>
        <v>0</v>
      </c>
      <c r="U83" s="171">
        <f t="shared" ca="1" si="47"/>
        <v>0</v>
      </c>
      <c r="V83" s="171">
        <f t="shared" ca="1" si="48"/>
        <v>0</v>
      </c>
      <c r="W83" s="171">
        <f t="shared" ca="1" si="49"/>
        <v>0</v>
      </c>
      <c r="X83" s="147">
        <v>1</v>
      </c>
      <c r="Y83" s="148">
        <f t="shared" ca="1" si="63"/>
        <v>0</v>
      </c>
      <c r="AB83" s="172">
        <f t="shared" ca="1" si="51"/>
        <v>0</v>
      </c>
      <c r="AC83" s="172">
        <f t="shared" ca="1" si="52"/>
        <v>0</v>
      </c>
      <c r="AD83" s="172">
        <f t="shared" ca="1" si="53"/>
        <v>0</v>
      </c>
      <c r="AE83" s="172">
        <f t="shared" ca="1" si="54"/>
        <v>0</v>
      </c>
      <c r="AF83" s="172">
        <f t="shared" ca="1" si="55"/>
        <v>0</v>
      </c>
      <c r="AG83" s="172">
        <f t="shared" ca="1" si="56"/>
        <v>0</v>
      </c>
      <c r="AH83" s="149">
        <f t="shared" ca="1" si="57"/>
        <v>0</v>
      </c>
      <c r="AI83" s="172">
        <f t="shared" ca="1" si="58"/>
        <v>0</v>
      </c>
      <c r="AJ83" s="149">
        <f t="shared" ca="1" si="59"/>
        <v>0</v>
      </c>
      <c r="AK83" s="150"/>
      <c r="AL83" s="151">
        <f t="shared" ca="1" si="60"/>
        <v>0</v>
      </c>
      <c r="AM83" s="152"/>
      <c r="AP83" s="29" t="str">
        <f t="shared" ca="1" si="61"/>
        <v>0</v>
      </c>
      <c r="AQ83" s="29" t="str">
        <f t="shared" ca="1" si="62"/>
        <v>0</v>
      </c>
    </row>
    <row r="84" spans="2:43">
      <c r="B84" s="209" t="s">
        <v>162</v>
      </c>
      <c r="C84" s="210"/>
      <c r="D84" s="210"/>
      <c r="E84" s="210"/>
      <c r="F84" s="210"/>
      <c r="G84" s="210"/>
      <c r="H84" s="210"/>
      <c r="I84" s="210" t="s">
        <v>55</v>
      </c>
      <c r="J84" s="211">
        <v>6028</v>
      </c>
      <c r="K84" s="211">
        <f t="shared" ca="1" si="42"/>
        <v>6028</v>
      </c>
      <c r="L84" s="211"/>
      <c r="M84" s="211"/>
      <c r="N84" s="211">
        <f t="shared" ca="1" si="43"/>
        <v>0</v>
      </c>
      <c r="O84" s="211">
        <f t="shared" ca="1" si="44"/>
        <v>0</v>
      </c>
      <c r="P84" s="211"/>
      <c r="Q84" s="211"/>
      <c r="R84" s="211">
        <f t="shared" ca="1" si="64"/>
        <v>0</v>
      </c>
      <c r="S84" s="211">
        <f t="shared" ca="1" si="64"/>
        <v>0</v>
      </c>
      <c r="T84" s="211">
        <f t="shared" ca="1" si="46"/>
        <v>587.73</v>
      </c>
      <c r="U84" s="211">
        <f t="shared" ca="1" si="47"/>
        <v>6615.73</v>
      </c>
      <c r="V84" s="211">
        <f t="shared" ca="1" si="48"/>
        <v>529.26</v>
      </c>
      <c r="W84" s="211">
        <f t="shared" ca="1" si="49"/>
        <v>7144.99</v>
      </c>
      <c r="X84" s="212">
        <v>4</v>
      </c>
      <c r="Y84" s="208">
        <f t="shared" ca="1" si="63"/>
        <v>28579.96</v>
      </c>
      <c r="AB84" s="172">
        <f t="shared" ca="1" si="51"/>
        <v>24112</v>
      </c>
      <c r="AC84" s="172">
        <f t="shared" ca="1" si="52"/>
        <v>0</v>
      </c>
      <c r="AD84" s="172">
        <f t="shared" ca="1" si="53"/>
        <v>0</v>
      </c>
      <c r="AE84" s="172">
        <f t="shared" ca="1" si="54"/>
        <v>0</v>
      </c>
      <c r="AF84" s="172">
        <f t="shared" ca="1" si="55"/>
        <v>0</v>
      </c>
      <c r="AG84" s="172">
        <f t="shared" ca="1" si="56"/>
        <v>2350.92</v>
      </c>
      <c r="AH84" s="149">
        <f t="shared" ca="1" si="57"/>
        <v>26462.92</v>
      </c>
      <c r="AI84" s="172">
        <f t="shared" ca="1" si="58"/>
        <v>2117.04</v>
      </c>
      <c r="AJ84" s="149">
        <f t="shared" ca="1" si="59"/>
        <v>28579.96</v>
      </c>
      <c r="AK84" s="150"/>
      <c r="AL84" s="151">
        <f t="shared" ca="1" si="60"/>
        <v>0</v>
      </c>
      <c r="AM84" s="152"/>
      <c r="AP84" s="29" t="str">
        <f t="shared" ca="1" si="61"/>
        <v>1</v>
      </c>
      <c r="AQ84" s="29" t="str">
        <f t="shared" ca="1" si="62"/>
        <v>1</v>
      </c>
    </row>
    <row r="85" spans="2:43">
      <c r="B85" s="209" t="s">
        <v>163</v>
      </c>
      <c r="C85" s="210"/>
      <c r="D85" s="210"/>
      <c r="E85" s="210"/>
      <c r="F85" s="210"/>
      <c r="G85" s="210"/>
      <c r="H85" s="210"/>
      <c r="I85" s="210" t="s">
        <v>55</v>
      </c>
      <c r="J85" s="211">
        <v>3872</v>
      </c>
      <c r="K85" s="211">
        <f t="shared" ca="1" si="42"/>
        <v>3872</v>
      </c>
      <c r="L85" s="211"/>
      <c r="M85" s="211"/>
      <c r="N85" s="211">
        <f t="shared" ca="1" si="43"/>
        <v>0</v>
      </c>
      <c r="O85" s="211">
        <f t="shared" ca="1" si="44"/>
        <v>0</v>
      </c>
      <c r="P85" s="211"/>
      <c r="Q85" s="211"/>
      <c r="R85" s="211">
        <f t="shared" ca="1" si="64"/>
        <v>0</v>
      </c>
      <c r="S85" s="211">
        <f t="shared" ca="1" si="64"/>
        <v>0</v>
      </c>
      <c r="T85" s="211">
        <f t="shared" ca="1" si="46"/>
        <v>377.52</v>
      </c>
      <c r="U85" s="211">
        <f t="shared" ca="1" si="47"/>
        <v>4249.5200000000004</v>
      </c>
      <c r="V85" s="211">
        <f t="shared" ca="1" si="48"/>
        <v>339.96</v>
      </c>
      <c r="W85" s="211">
        <f t="shared" ca="1" si="49"/>
        <v>4589.4800000000005</v>
      </c>
      <c r="X85" s="212">
        <v>2</v>
      </c>
      <c r="Y85" s="208">
        <f t="shared" ca="1" si="63"/>
        <v>9178.9600000000009</v>
      </c>
      <c r="AB85" s="172">
        <f t="shared" ca="1" si="51"/>
        <v>7744</v>
      </c>
      <c r="AC85" s="172">
        <f t="shared" ca="1" si="52"/>
        <v>0</v>
      </c>
      <c r="AD85" s="172">
        <f t="shared" ca="1" si="53"/>
        <v>0</v>
      </c>
      <c r="AE85" s="172">
        <f t="shared" ca="1" si="54"/>
        <v>0</v>
      </c>
      <c r="AF85" s="172">
        <f t="shared" ca="1" si="55"/>
        <v>0</v>
      </c>
      <c r="AG85" s="172">
        <f t="shared" ca="1" si="56"/>
        <v>755.04</v>
      </c>
      <c r="AH85" s="149">
        <f t="shared" ca="1" si="57"/>
        <v>8499.0400000000009</v>
      </c>
      <c r="AI85" s="172">
        <f t="shared" ca="1" si="58"/>
        <v>679.92</v>
      </c>
      <c r="AJ85" s="149">
        <f t="shared" ca="1" si="59"/>
        <v>9178.9600000000009</v>
      </c>
      <c r="AK85" s="150"/>
      <c r="AL85" s="151">
        <f t="shared" ca="1" si="60"/>
        <v>0</v>
      </c>
      <c r="AM85" s="152"/>
      <c r="AP85" s="29" t="str">
        <f t="shared" ca="1" si="61"/>
        <v>1</v>
      </c>
      <c r="AQ85" s="29" t="str">
        <f t="shared" ca="1" si="62"/>
        <v>1</v>
      </c>
    </row>
    <row r="86" spans="2:43">
      <c r="B86" s="209" t="s">
        <v>164</v>
      </c>
      <c r="C86" s="210"/>
      <c r="D86" s="210"/>
      <c r="E86" s="210"/>
      <c r="F86" s="210"/>
      <c r="G86" s="210"/>
      <c r="H86" s="210"/>
      <c r="I86" s="210" t="s">
        <v>55</v>
      </c>
      <c r="J86" s="211">
        <v>808</v>
      </c>
      <c r="K86" s="211">
        <f t="shared" ca="1" si="42"/>
        <v>808</v>
      </c>
      <c r="L86" s="211"/>
      <c r="M86" s="211"/>
      <c r="N86" s="211">
        <f t="shared" ca="1" si="43"/>
        <v>0</v>
      </c>
      <c r="O86" s="211">
        <f t="shared" ca="1" si="44"/>
        <v>0</v>
      </c>
      <c r="P86" s="211"/>
      <c r="Q86" s="211"/>
      <c r="R86" s="211">
        <f t="shared" ca="1" si="64"/>
        <v>0</v>
      </c>
      <c r="S86" s="211">
        <f t="shared" ca="1" si="64"/>
        <v>0</v>
      </c>
      <c r="T86" s="211">
        <f t="shared" ca="1" si="46"/>
        <v>78.78</v>
      </c>
      <c r="U86" s="211">
        <f t="shared" ca="1" si="47"/>
        <v>886.78</v>
      </c>
      <c r="V86" s="211">
        <f t="shared" ca="1" si="48"/>
        <v>70.94</v>
      </c>
      <c r="W86" s="211">
        <f t="shared" ca="1" si="49"/>
        <v>957.72</v>
      </c>
      <c r="X86" s="212">
        <v>2</v>
      </c>
      <c r="Y86" s="208">
        <f t="shared" ca="1" si="63"/>
        <v>1915.44</v>
      </c>
      <c r="AB86" s="172">
        <f t="shared" ca="1" si="51"/>
        <v>1616</v>
      </c>
      <c r="AC86" s="172">
        <f t="shared" ca="1" si="52"/>
        <v>0</v>
      </c>
      <c r="AD86" s="172">
        <f t="shared" ca="1" si="53"/>
        <v>0</v>
      </c>
      <c r="AE86" s="172">
        <f t="shared" ca="1" si="54"/>
        <v>0</v>
      </c>
      <c r="AF86" s="172">
        <f t="shared" ca="1" si="55"/>
        <v>0</v>
      </c>
      <c r="AG86" s="172">
        <f t="shared" ca="1" si="56"/>
        <v>157.56</v>
      </c>
      <c r="AH86" s="149">
        <f t="shared" ca="1" si="57"/>
        <v>1773.56</v>
      </c>
      <c r="AI86" s="172">
        <f t="shared" ca="1" si="58"/>
        <v>141.88</v>
      </c>
      <c r="AJ86" s="149">
        <f t="shared" ca="1" si="59"/>
        <v>1915.44</v>
      </c>
      <c r="AK86" s="150"/>
      <c r="AL86" s="151">
        <f t="shared" ca="1" si="60"/>
        <v>0</v>
      </c>
      <c r="AM86" s="152"/>
      <c r="AP86" s="29" t="str">
        <f t="shared" ca="1" si="61"/>
        <v>1</v>
      </c>
      <c r="AQ86" s="29" t="str">
        <f t="shared" ca="1" si="62"/>
        <v>1</v>
      </c>
    </row>
    <row r="87" spans="2:43">
      <c r="B87" s="209" t="s">
        <v>165</v>
      </c>
      <c r="C87" s="210"/>
      <c r="D87" s="210"/>
      <c r="E87" s="210"/>
      <c r="F87" s="210"/>
      <c r="G87" s="210"/>
      <c r="H87" s="210"/>
      <c r="I87" s="210" t="s">
        <v>55</v>
      </c>
      <c r="J87" s="211">
        <v>3196</v>
      </c>
      <c r="K87" s="211">
        <f t="shared" ca="1" si="42"/>
        <v>3196</v>
      </c>
      <c r="L87" s="211"/>
      <c r="M87" s="211"/>
      <c r="N87" s="211">
        <f t="shared" ca="1" si="43"/>
        <v>0</v>
      </c>
      <c r="O87" s="211">
        <f t="shared" ca="1" si="44"/>
        <v>0</v>
      </c>
      <c r="P87" s="211"/>
      <c r="Q87" s="211"/>
      <c r="R87" s="211">
        <f t="shared" ca="1" si="64"/>
        <v>0</v>
      </c>
      <c r="S87" s="211">
        <f t="shared" ca="1" si="64"/>
        <v>0</v>
      </c>
      <c r="T87" s="211">
        <f t="shared" ca="1" si="46"/>
        <v>311.61</v>
      </c>
      <c r="U87" s="211">
        <f t="shared" ca="1" si="47"/>
        <v>3507.61</v>
      </c>
      <c r="V87" s="211">
        <f t="shared" ca="1" si="48"/>
        <v>280.61</v>
      </c>
      <c r="W87" s="211">
        <f t="shared" ca="1" si="49"/>
        <v>3788.2200000000003</v>
      </c>
      <c r="X87" s="212">
        <v>1</v>
      </c>
      <c r="Y87" s="208">
        <f t="shared" ca="1" si="63"/>
        <v>3788.2200000000003</v>
      </c>
      <c r="AB87" s="172">
        <f t="shared" ca="1" si="51"/>
        <v>3196</v>
      </c>
      <c r="AC87" s="172">
        <f t="shared" ca="1" si="52"/>
        <v>0</v>
      </c>
      <c r="AD87" s="172">
        <f t="shared" ca="1" si="53"/>
        <v>0</v>
      </c>
      <c r="AE87" s="172">
        <f t="shared" ca="1" si="54"/>
        <v>0</v>
      </c>
      <c r="AF87" s="172">
        <f t="shared" ca="1" si="55"/>
        <v>0</v>
      </c>
      <c r="AG87" s="172">
        <f t="shared" ca="1" si="56"/>
        <v>311.61</v>
      </c>
      <c r="AH87" s="149">
        <f t="shared" ca="1" si="57"/>
        <v>3507.61</v>
      </c>
      <c r="AI87" s="172">
        <f t="shared" ca="1" si="58"/>
        <v>280.61</v>
      </c>
      <c r="AJ87" s="149">
        <f t="shared" ca="1" si="59"/>
        <v>3788.2200000000003</v>
      </c>
      <c r="AK87" s="150"/>
      <c r="AL87" s="151">
        <f t="shared" ca="1" si="60"/>
        <v>0</v>
      </c>
      <c r="AM87" s="152"/>
      <c r="AP87" s="29" t="str">
        <f t="shared" ca="1" si="61"/>
        <v>1</v>
      </c>
      <c r="AQ87" s="29" t="str">
        <f t="shared" ca="1" si="62"/>
        <v>1</v>
      </c>
    </row>
    <row r="88" spans="2:43">
      <c r="B88" s="209" t="s">
        <v>166</v>
      </c>
      <c r="C88" s="210"/>
      <c r="D88" s="210"/>
      <c r="E88" s="210"/>
      <c r="F88" s="210"/>
      <c r="G88" s="210"/>
      <c r="H88" s="210"/>
      <c r="I88" s="210" t="s">
        <v>55</v>
      </c>
      <c r="J88" s="211">
        <v>760</v>
      </c>
      <c r="K88" s="211">
        <f t="shared" ca="1" si="42"/>
        <v>760</v>
      </c>
      <c r="L88" s="211"/>
      <c r="M88" s="211"/>
      <c r="N88" s="211">
        <f t="shared" ca="1" si="43"/>
        <v>0</v>
      </c>
      <c r="O88" s="211">
        <f t="shared" ca="1" si="44"/>
        <v>0</v>
      </c>
      <c r="P88" s="211"/>
      <c r="Q88" s="211"/>
      <c r="R88" s="211">
        <f t="shared" ca="1" si="64"/>
        <v>0</v>
      </c>
      <c r="S88" s="211">
        <f t="shared" ca="1" si="64"/>
        <v>0</v>
      </c>
      <c r="T88" s="211">
        <f t="shared" ca="1" si="46"/>
        <v>74.099999999999994</v>
      </c>
      <c r="U88" s="211">
        <f t="shared" ca="1" si="47"/>
        <v>834.1</v>
      </c>
      <c r="V88" s="211">
        <f t="shared" ca="1" si="48"/>
        <v>66.73</v>
      </c>
      <c r="W88" s="211">
        <f t="shared" ca="1" si="49"/>
        <v>900.83</v>
      </c>
      <c r="X88" s="212">
        <v>1</v>
      </c>
      <c r="Y88" s="208">
        <f t="shared" ca="1" si="63"/>
        <v>900.83</v>
      </c>
      <c r="AB88" s="172">
        <f t="shared" ca="1" si="51"/>
        <v>760</v>
      </c>
      <c r="AC88" s="172">
        <f t="shared" ca="1" si="52"/>
        <v>0</v>
      </c>
      <c r="AD88" s="172">
        <f t="shared" ca="1" si="53"/>
        <v>0</v>
      </c>
      <c r="AE88" s="172">
        <f t="shared" ca="1" si="54"/>
        <v>0</v>
      </c>
      <c r="AF88" s="172">
        <f t="shared" ca="1" si="55"/>
        <v>0</v>
      </c>
      <c r="AG88" s="172">
        <f t="shared" ca="1" si="56"/>
        <v>74.099999999999994</v>
      </c>
      <c r="AH88" s="149">
        <f t="shared" ca="1" si="57"/>
        <v>834.1</v>
      </c>
      <c r="AI88" s="172">
        <f t="shared" ca="1" si="58"/>
        <v>66.73</v>
      </c>
      <c r="AJ88" s="149">
        <f t="shared" ca="1" si="59"/>
        <v>900.83</v>
      </c>
      <c r="AK88" s="150"/>
      <c r="AL88" s="151">
        <f t="shared" ca="1" si="60"/>
        <v>0</v>
      </c>
      <c r="AM88" s="152"/>
      <c r="AP88" s="29" t="str">
        <f t="shared" ca="1" si="61"/>
        <v>1</v>
      </c>
      <c r="AQ88" s="29" t="str">
        <f t="shared" ca="1" si="62"/>
        <v>1</v>
      </c>
    </row>
    <row r="89" spans="2:43">
      <c r="B89" s="170" t="s">
        <v>92</v>
      </c>
      <c r="C89" s="15"/>
      <c r="D89" s="15"/>
      <c r="E89" s="15"/>
      <c r="F89" s="15"/>
      <c r="G89" s="15"/>
      <c r="H89" s="15"/>
      <c r="I89" s="144" t="s">
        <v>55</v>
      </c>
      <c r="J89" s="171">
        <v>0</v>
      </c>
      <c r="K89" s="171">
        <f t="shared" ca="1" si="42"/>
        <v>0</v>
      </c>
      <c r="L89" s="171"/>
      <c r="M89" s="171"/>
      <c r="N89" s="171">
        <f t="shared" ca="1" si="43"/>
        <v>0</v>
      </c>
      <c r="O89" s="171">
        <f t="shared" ca="1" si="44"/>
        <v>0</v>
      </c>
      <c r="P89" s="171"/>
      <c r="Q89" s="171"/>
      <c r="R89" s="171">
        <f t="shared" ca="1" si="64"/>
        <v>0</v>
      </c>
      <c r="S89" s="171">
        <f t="shared" ca="1" si="64"/>
        <v>0</v>
      </c>
      <c r="T89" s="171">
        <f t="shared" ca="1" si="46"/>
        <v>0</v>
      </c>
      <c r="U89" s="171">
        <f t="shared" ca="1" si="47"/>
        <v>0</v>
      </c>
      <c r="V89" s="171">
        <f t="shared" ca="1" si="48"/>
        <v>0</v>
      </c>
      <c r="W89" s="171">
        <f t="shared" ca="1" si="49"/>
        <v>0</v>
      </c>
      <c r="X89" s="147">
        <v>1</v>
      </c>
      <c r="Y89" s="148">
        <f t="shared" ca="1" si="63"/>
        <v>0</v>
      </c>
      <c r="AB89" s="172">
        <f t="shared" ca="1" si="51"/>
        <v>0</v>
      </c>
      <c r="AC89" s="172">
        <f t="shared" ca="1" si="52"/>
        <v>0</v>
      </c>
      <c r="AD89" s="172">
        <f t="shared" ca="1" si="53"/>
        <v>0</v>
      </c>
      <c r="AE89" s="172">
        <f t="shared" ca="1" si="54"/>
        <v>0</v>
      </c>
      <c r="AF89" s="172">
        <f t="shared" ca="1" si="55"/>
        <v>0</v>
      </c>
      <c r="AG89" s="172">
        <f t="shared" ca="1" si="56"/>
        <v>0</v>
      </c>
      <c r="AH89" s="149">
        <f t="shared" ca="1" si="57"/>
        <v>0</v>
      </c>
      <c r="AI89" s="172">
        <f t="shared" ca="1" si="58"/>
        <v>0</v>
      </c>
      <c r="AJ89" s="149">
        <f t="shared" ca="1" si="59"/>
        <v>0</v>
      </c>
      <c r="AK89" s="150"/>
      <c r="AL89" s="151">
        <f t="shared" ca="1" si="60"/>
        <v>0</v>
      </c>
      <c r="AM89" s="152"/>
      <c r="AP89" s="29" t="str">
        <f t="shared" ca="1" si="61"/>
        <v>0</v>
      </c>
      <c r="AQ89" s="29" t="str">
        <f t="shared" ca="1" si="62"/>
        <v>0</v>
      </c>
    </row>
    <row r="90" spans="2:43">
      <c r="B90" s="170" t="s">
        <v>92</v>
      </c>
      <c r="C90" s="15"/>
      <c r="D90" s="15"/>
      <c r="E90" s="15"/>
      <c r="F90" s="15"/>
      <c r="G90" s="15"/>
      <c r="H90" s="15"/>
      <c r="I90" s="144" t="s">
        <v>55</v>
      </c>
      <c r="J90" s="171">
        <v>0</v>
      </c>
      <c r="K90" s="171">
        <f t="shared" ca="1" si="42"/>
        <v>0</v>
      </c>
      <c r="L90" s="171"/>
      <c r="M90" s="171"/>
      <c r="N90" s="171">
        <f t="shared" ca="1" si="43"/>
        <v>0</v>
      </c>
      <c r="O90" s="171">
        <f t="shared" ca="1" si="44"/>
        <v>0</v>
      </c>
      <c r="P90" s="171"/>
      <c r="Q90" s="171"/>
      <c r="R90" s="171">
        <f t="shared" ca="1" si="64"/>
        <v>0</v>
      </c>
      <c r="S90" s="171">
        <f t="shared" ca="1" si="64"/>
        <v>0</v>
      </c>
      <c r="T90" s="171">
        <f t="shared" ca="1" si="46"/>
        <v>0</v>
      </c>
      <c r="U90" s="171">
        <f t="shared" ca="1" si="47"/>
        <v>0</v>
      </c>
      <c r="V90" s="171">
        <f t="shared" ca="1" si="48"/>
        <v>0</v>
      </c>
      <c r="W90" s="171">
        <f t="shared" ca="1" si="49"/>
        <v>0</v>
      </c>
      <c r="X90" s="147">
        <v>1</v>
      </c>
      <c r="Y90" s="148">
        <f t="shared" ca="1" si="63"/>
        <v>0</v>
      </c>
      <c r="AB90" s="172">
        <f t="shared" ca="1" si="51"/>
        <v>0</v>
      </c>
      <c r="AC90" s="172">
        <f t="shared" ca="1" si="52"/>
        <v>0</v>
      </c>
      <c r="AD90" s="172">
        <f t="shared" ca="1" si="53"/>
        <v>0</v>
      </c>
      <c r="AE90" s="172">
        <f t="shared" ca="1" si="54"/>
        <v>0</v>
      </c>
      <c r="AF90" s="172">
        <f t="shared" ca="1" si="55"/>
        <v>0</v>
      </c>
      <c r="AG90" s="172">
        <f t="shared" ca="1" si="56"/>
        <v>0</v>
      </c>
      <c r="AH90" s="149">
        <f t="shared" ca="1" si="57"/>
        <v>0</v>
      </c>
      <c r="AI90" s="172">
        <f t="shared" ca="1" si="58"/>
        <v>0</v>
      </c>
      <c r="AJ90" s="149">
        <f t="shared" ca="1" si="59"/>
        <v>0</v>
      </c>
      <c r="AK90" s="150"/>
      <c r="AL90" s="151">
        <f t="shared" ca="1" si="60"/>
        <v>0</v>
      </c>
      <c r="AM90" s="152"/>
      <c r="AP90" s="29" t="str">
        <f t="shared" ca="1" si="61"/>
        <v>0</v>
      </c>
      <c r="AQ90" s="29" t="str">
        <f t="shared" ca="1" si="62"/>
        <v>0</v>
      </c>
    </row>
    <row r="91" spans="2:43">
      <c r="B91" s="170" t="s">
        <v>94</v>
      </c>
      <c r="C91" s="15"/>
      <c r="D91" s="15"/>
      <c r="E91" s="15"/>
      <c r="F91" s="15"/>
      <c r="G91" s="15"/>
      <c r="H91" s="15"/>
      <c r="I91" s="144" t="s">
        <v>55</v>
      </c>
      <c r="J91" s="171">
        <v>0</v>
      </c>
      <c r="K91" s="171">
        <f t="shared" ca="1" si="42"/>
        <v>0</v>
      </c>
      <c r="L91" s="171"/>
      <c r="M91" s="171"/>
      <c r="N91" s="171">
        <f t="shared" ca="1" si="43"/>
        <v>0</v>
      </c>
      <c r="O91" s="171">
        <f t="shared" ca="1" si="44"/>
        <v>0</v>
      </c>
      <c r="P91" s="171"/>
      <c r="Q91" s="171"/>
      <c r="R91" s="171">
        <f t="shared" ca="1" si="64"/>
        <v>0</v>
      </c>
      <c r="S91" s="171">
        <f t="shared" ca="1" si="64"/>
        <v>0</v>
      </c>
      <c r="T91" s="171">
        <f t="shared" ca="1" si="46"/>
        <v>0</v>
      </c>
      <c r="U91" s="171">
        <f t="shared" ca="1" si="47"/>
        <v>0</v>
      </c>
      <c r="V91" s="171">
        <f t="shared" ca="1" si="48"/>
        <v>0</v>
      </c>
      <c r="W91" s="171">
        <f t="shared" ca="1" si="49"/>
        <v>0</v>
      </c>
      <c r="X91" s="147">
        <v>1</v>
      </c>
      <c r="Y91" s="148">
        <f t="shared" ca="1" si="63"/>
        <v>0</v>
      </c>
      <c r="AB91" s="172">
        <f t="shared" ca="1" si="51"/>
        <v>0</v>
      </c>
      <c r="AC91" s="172">
        <f t="shared" ca="1" si="52"/>
        <v>0</v>
      </c>
      <c r="AD91" s="172">
        <f t="shared" ca="1" si="53"/>
        <v>0</v>
      </c>
      <c r="AE91" s="172">
        <f t="shared" ca="1" si="54"/>
        <v>0</v>
      </c>
      <c r="AF91" s="172">
        <f t="shared" ca="1" si="55"/>
        <v>0</v>
      </c>
      <c r="AG91" s="172">
        <f t="shared" ca="1" si="56"/>
        <v>0</v>
      </c>
      <c r="AH91" s="149">
        <f t="shared" ca="1" si="57"/>
        <v>0</v>
      </c>
      <c r="AI91" s="172">
        <f t="shared" ca="1" si="58"/>
        <v>0</v>
      </c>
      <c r="AJ91" s="149">
        <f t="shared" ca="1" si="59"/>
        <v>0</v>
      </c>
      <c r="AK91" s="150"/>
      <c r="AL91" s="151">
        <f t="shared" ca="1" si="60"/>
        <v>0</v>
      </c>
      <c r="AM91" s="152"/>
      <c r="AP91" s="29" t="str">
        <f t="shared" ca="1" si="61"/>
        <v>0</v>
      </c>
      <c r="AQ91" s="29" t="str">
        <f t="shared" ca="1" si="62"/>
        <v>0</v>
      </c>
    </row>
    <row r="92" spans="2:43">
      <c r="B92" s="175"/>
      <c r="C92" s="154"/>
      <c r="D92" s="154"/>
      <c r="E92" s="154"/>
      <c r="F92" s="154"/>
      <c r="G92" s="154"/>
      <c r="H92" s="154"/>
      <c r="I92" s="154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7"/>
      <c r="Y92" s="160"/>
      <c r="Z92" s="154"/>
      <c r="AA92" s="154"/>
      <c r="AB92" s="176"/>
      <c r="AC92" s="176"/>
      <c r="AD92" s="176"/>
      <c r="AE92" s="176"/>
      <c r="AF92" s="176"/>
      <c r="AG92" s="176"/>
      <c r="AH92" s="161"/>
      <c r="AI92" s="176"/>
      <c r="AJ92" s="161"/>
      <c r="AK92" s="161"/>
      <c r="AL92" s="162"/>
      <c r="AM92" s="152"/>
      <c r="AP92" s="29" t="str">
        <f t="shared" si="61"/>
        <v>1</v>
      </c>
      <c r="AQ92" s="29" t="str">
        <f t="shared" si="62"/>
        <v>1</v>
      </c>
    </row>
    <row r="93" spans="2:43">
      <c r="B93" s="2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48"/>
      <c r="AP93" s="29" t="str">
        <f t="shared" si="61"/>
        <v>1</v>
      </c>
      <c r="AQ93" s="29" t="str">
        <f t="shared" si="62"/>
        <v>1</v>
      </c>
    </row>
    <row r="94" spans="2:43">
      <c r="B94" s="2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28" t="s">
        <v>95</v>
      </c>
      <c r="X94" s="178"/>
      <c r="Y94" s="179">
        <f ca="1">SUBTOTAL(9,Y$57:Y$93)</f>
        <v>492991.30999999994</v>
      </c>
      <c r="AB94" s="172">
        <f t="shared" ref="AB94:AJ94" ca="1" si="65">SUBTOTAL(9,AB$57:AB$93)</f>
        <v>389939.51</v>
      </c>
      <c r="AC94" s="172">
        <f t="shared" ca="1" si="65"/>
        <v>0</v>
      </c>
      <c r="AD94" s="172">
        <f t="shared" ca="1" si="65"/>
        <v>9443.93</v>
      </c>
      <c r="AE94" s="172">
        <f t="shared" ca="1" si="65"/>
        <v>0</v>
      </c>
      <c r="AF94" s="172">
        <f t="shared" ca="1" si="65"/>
        <v>0</v>
      </c>
      <c r="AG94" s="172">
        <f t="shared" ca="1" si="65"/>
        <v>8247.59</v>
      </c>
      <c r="AH94" s="172">
        <f t="shared" ca="1" si="65"/>
        <v>407631.02999999997</v>
      </c>
      <c r="AI94" s="172">
        <f t="shared" ca="1" si="65"/>
        <v>104146.11</v>
      </c>
      <c r="AJ94" s="172">
        <f t="shared" ca="1" si="65"/>
        <v>511777.1399999999</v>
      </c>
      <c r="AK94" s="171"/>
      <c r="AL94" s="151">
        <f ca="1">AJ94-Y94</f>
        <v>18785.829999999958</v>
      </c>
      <c r="AM94" s="152"/>
      <c r="AP94" s="29" t="str">
        <f t="shared" si="61"/>
        <v>1</v>
      </c>
      <c r="AQ94" s="29" t="str">
        <f t="shared" ca="1" si="62"/>
        <v>1</v>
      </c>
    </row>
    <row r="95" spans="2:43">
      <c r="B95" s="2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28"/>
      <c r="AH95" s="168" t="s">
        <v>80</v>
      </c>
      <c r="AI95" s="169">
        <f ca="1">IF(AH94=0,0,(AI94/AH94))</f>
        <v>0.25549112392155232</v>
      </c>
      <c r="AP95" s="29" t="str">
        <f t="shared" si="61"/>
        <v>1</v>
      </c>
      <c r="AQ95" s="29" t="str">
        <f t="shared" si="62"/>
        <v>1</v>
      </c>
    </row>
    <row r="96" spans="2:43">
      <c r="B96" s="180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8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L96" s="121"/>
      <c r="AP96" s="29" t="str">
        <f t="shared" si="61"/>
        <v>1</v>
      </c>
      <c r="AQ96" s="29" t="str">
        <f t="shared" si="62"/>
        <v>1</v>
      </c>
    </row>
    <row r="97" spans="2:43" ht="13.5" thickBot="1">
      <c r="B97" s="30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182" t="s">
        <v>96</v>
      </c>
      <c r="X97" s="183">
        <f>X55</f>
        <v>908</v>
      </c>
      <c r="Y97" s="184">
        <f ca="1">SUBTOTAL(9,Y$31:Y$96)</f>
        <v>594808.86999999965</v>
      </c>
      <c r="AB97" s="149">
        <f t="shared" ref="AB97:AJ97" ca="1" si="66">SUBTOTAL(9,AB$31:AB$96)</f>
        <v>426621.87</v>
      </c>
      <c r="AC97" s="149">
        <f t="shared" ca="1" si="66"/>
        <v>16368.102499999999</v>
      </c>
      <c r="AD97" s="149">
        <f t="shared" ca="1" si="66"/>
        <v>19755.834575000001</v>
      </c>
      <c r="AE97" s="149">
        <f t="shared" ca="1" si="66"/>
        <v>129.40153846153845</v>
      </c>
      <c r="AF97" s="149">
        <f t="shared" ca="1" si="66"/>
        <v>0</v>
      </c>
      <c r="AG97" s="149">
        <f t="shared" ca="1" si="66"/>
        <v>16113.2982847325</v>
      </c>
      <c r="AH97" s="149">
        <f t="shared" ca="1" si="66"/>
        <v>478988.50689819403</v>
      </c>
      <c r="AI97" s="149">
        <f t="shared" ca="1" si="66"/>
        <v>117427.49752114389</v>
      </c>
      <c r="AJ97" s="149">
        <f t="shared" ca="1" si="66"/>
        <v>596415.56280972285</v>
      </c>
      <c r="AK97" s="150"/>
      <c r="AL97" s="151">
        <f ca="1">AJ97-Y97</f>
        <v>1606.6928097232012</v>
      </c>
      <c r="AM97" s="152"/>
      <c r="AP97" s="29" t="str">
        <f t="shared" ref="AP97:AP123" si="67">IF((OR((W97=""),(W97&gt;0))),"1","0")</f>
        <v>1</v>
      </c>
      <c r="AQ97" s="29" t="str">
        <f t="shared" ref="AQ97:AQ123" ca="1" si="68">IF((OR((Y97=""),(Y97&gt;0))),"1","0")</f>
        <v>1</v>
      </c>
    </row>
    <row r="98" spans="2:43">
      <c r="AH98" s="185" t="s">
        <v>80</v>
      </c>
      <c r="AI98" s="186">
        <f ca="1">IF(AH97=0,0,(AI97/AH97))</f>
        <v>0.24515723410896445</v>
      </c>
      <c r="AP98" s="29" t="str">
        <f t="shared" si="67"/>
        <v>1</v>
      </c>
      <c r="AQ98" s="29" t="str">
        <f t="shared" si="68"/>
        <v>1</v>
      </c>
    </row>
    <row r="99" spans="2:43">
      <c r="Z99" s="15"/>
      <c r="AP99" s="29" t="str">
        <f t="shared" si="67"/>
        <v>1</v>
      </c>
      <c r="AQ99" s="29" t="str">
        <f t="shared" si="68"/>
        <v>1</v>
      </c>
    </row>
    <row r="100" spans="2:43">
      <c r="O100" s="63" t="s">
        <v>67</v>
      </c>
      <c r="P100" s="187"/>
      <c r="Q100" s="187"/>
      <c r="R100" s="188"/>
      <c r="S100" s="188"/>
      <c r="T100" s="65" t="s">
        <v>97</v>
      </c>
      <c r="U100" s="64" t="s">
        <v>98</v>
      </c>
      <c r="V100" s="65" t="s">
        <v>99</v>
      </c>
      <c r="W100" s="64" t="s">
        <v>100</v>
      </c>
      <c r="X100" s="65" t="s">
        <v>101</v>
      </c>
      <c r="Y100" s="64" t="s">
        <v>74</v>
      </c>
      <c r="Z100" s="15"/>
      <c r="AP100" s="29" t="str">
        <f t="shared" si="67"/>
        <v>1</v>
      </c>
      <c r="AQ100" s="29" t="str">
        <f t="shared" si="68"/>
        <v>1</v>
      </c>
    </row>
    <row r="101" spans="2:43">
      <c r="O101" s="189" t="s">
        <v>78</v>
      </c>
      <c r="P101" s="190"/>
      <c r="Q101" s="190"/>
      <c r="R101" s="15"/>
      <c r="S101" s="15"/>
      <c r="T101" s="191">
        <f t="shared" ref="T101:T121" si="69">IF(X101=0,0,(X101/X$122))</f>
        <v>1</v>
      </c>
      <c r="U101" s="192">
        <f t="shared" ref="U101:U121" ca="1" si="70">IF(Y101=0,0,(Y101/Y$122))</f>
        <v>1</v>
      </c>
      <c r="V101" s="193" t="s">
        <v>102</v>
      </c>
      <c r="W101" s="50" t="s">
        <v>102</v>
      </c>
      <c r="X101" s="194">
        <f t="shared" ref="X101:Y121" si="71">SUMIF($D$31:$D$56,$O101,X$31:X$95)</f>
        <v>908</v>
      </c>
      <c r="Y101" s="195">
        <f t="shared" ca="1" si="71"/>
        <v>101817.56</v>
      </c>
      <c r="Z101" s="15"/>
      <c r="AA101" s="23" t="str">
        <f t="shared" ref="AA101:AA121" si="72">O101</f>
        <v>ManTech</v>
      </c>
      <c r="AB101" s="150">
        <f t="shared" ref="AB101:AJ110" ca="1" si="73">SUMIF($D$31:$D$56,$O101,AB$31:AB$95)</f>
        <v>36682.36</v>
      </c>
      <c r="AC101" s="150">
        <f t="shared" ca="1" si="73"/>
        <v>16368.102499999999</v>
      </c>
      <c r="AD101" s="150">
        <f t="shared" ca="1" si="73"/>
        <v>10311.904575</v>
      </c>
      <c r="AE101" s="150">
        <f t="shared" ca="1" si="73"/>
        <v>129.40153846153845</v>
      </c>
      <c r="AF101" s="150">
        <f t="shared" ca="1" si="73"/>
        <v>0</v>
      </c>
      <c r="AG101" s="150">
        <f t="shared" ca="1" si="73"/>
        <v>7865.7082847325009</v>
      </c>
      <c r="AH101" s="150">
        <f t="shared" ca="1" si="73"/>
        <v>71357.476898194043</v>
      </c>
      <c r="AI101" s="150">
        <f t="shared" ca="1" si="73"/>
        <v>13280.945911529107</v>
      </c>
      <c r="AJ101" s="150">
        <f t="shared" ca="1" si="73"/>
        <v>84638.422809723153</v>
      </c>
      <c r="AK101" s="150"/>
      <c r="AL101" s="151">
        <f t="shared" ref="AL101:AL122" ca="1" si="74">AJ101-Y101</f>
        <v>-17179.137190276844</v>
      </c>
      <c r="AM101" s="152"/>
      <c r="AP101" s="29" t="str">
        <f t="shared" si="67"/>
        <v>1</v>
      </c>
      <c r="AQ101" s="29" t="str">
        <f t="shared" ca="1" si="68"/>
        <v>1</v>
      </c>
    </row>
    <row r="102" spans="2:43">
      <c r="J102" s="196"/>
      <c r="O102" s="189" t="s">
        <v>130</v>
      </c>
      <c r="P102" s="190"/>
      <c r="Q102" s="190"/>
      <c r="R102" s="15"/>
      <c r="S102" s="15"/>
      <c r="T102" s="191">
        <f t="shared" si="69"/>
        <v>0</v>
      </c>
      <c r="U102" s="192">
        <f t="shared" si="70"/>
        <v>0</v>
      </c>
      <c r="V102" s="191">
        <f t="shared" ref="V102:V121" si="75">IF(X102=0,0,(X102/(X$122-X$101)))</f>
        <v>0</v>
      </c>
      <c r="W102" s="197">
        <f t="shared" ref="W102:W121" si="76">IF(Y102=0,0,(Y102/(Y$122-Y$101)))</f>
        <v>0</v>
      </c>
      <c r="X102" s="194">
        <f t="shared" si="71"/>
        <v>0</v>
      </c>
      <c r="Y102" s="195">
        <f t="shared" si="71"/>
        <v>0</v>
      </c>
      <c r="Z102" s="15"/>
      <c r="AA102" s="23" t="str">
        <f t="shared" si="72"/>
        <v>Sub 1</v>
      </c>
      <c r="AB102" s="150">
        <f t="shared" si="73"/>
        <v>0</v>
      </c>
      <c r="AC102" s="150">
        <f t="shared" si="73"/>
        <v>0</v>
      </c>
      <c r="AD102" s="150">
        <f t="shared" si="73"/>
        <v>0</v>
      </c>
      <c r="AE102" s="150">
        <f t="shared" si="73"/>
        <v>0</v>
      </c>
      <c r="AF102" s="150">
        <f t="shared" si="73"/>
        <v>0</v>
      </c>
      <c r="AG102" s="150">
        <f t="shared" si="73"/>
        <v>0</v>
      </c>
      <c r="AH102" s="150">
        <f t="shared" si="73"/>
        <v>0</v>
      </c>
      <c r="AI102" s="150">
        <f t="shared" si="73"/>
        <v>0</v>
      </c>
      <c r="AJ102" s="150">
        <f t="shared" si="73"/>
        <v>0</v>
      </c>
      <c r="AK102" s="150"/>
      <c r="AL102" s="151">
        <f t="shared" si="74"/>
        <v>0</v>
      </c>
      <c r="AM102" s="152"/>
      <c r="AP102" s="29" t="str">
        <f t="shared" si="67"/>
        <v>0</v>
      </c>
      <c r="AQ102" s="29" t="str">
        <f t="shared" si="68"/>
        <v>0</v>
      </c>
    </row>
    <row r="103" spans="2:43">
      <c r="J103" s="196"/>
      <c r="O103" s="189" t="s">
        <v>131</v>
      </c>
      <c r="P103" s="190"/>
      <c r="Q103" s="190"/>
      <c r="R103" s="15"/>
      <c r="S103" s="15"/>
      <c r="T103" s="191">
        <f t="shared" si="69"/>
        <v>0</v>
      </c>
      <c r="U103" s="192">
        <f t="shared" si="70"/>
        <v>0</v>
      </c>
      <c r="V103" s="191">
        <f t="shared" si="75"/>
        <v>0</v>
      </c>
      <c r="W103" s="197">
        <f t="shared" si="76"/>
        <v>0</v>
      </c>
      <c r="X103" s="194">
        <f t="shared" si="71"/>
        <v>0</v>
      </c>
      <c r="Y103" s="195">
        <f t="shared" si="71"/>
        <v>0</v>
      </c>
      <c r="Z103" s="15"/>
      <c r="AA103" s="23" t="str">
        <f t="shared" si="72"/>
        <v>Sub 2</v>
      </c>
      <c r="AB103" s="150">
        <f t="shared" si="73"/>
        <v>0</v>
      </c>
      <c r="AC103" s="150">
        <f t="shared" si="73"/>
        <v>0</v>
      </c>
      <c r="AD103" s="150">
        <f t="shared" si="73"/>
        <v>0</v>
      </c>
      <c r="AE103" s="150">
        <f t="shared" si="73"/>
        <v>0</v>
      </c>
      <c r="AF103" s="150">
        <f t="shared" si="73"/>
        <v>0</v>
      </c>
      <c r="AG103" s="150">
        <f t="shared" si="73"/>
        <v>0</v>
      </c>
      <c r="AH103" s="150">
        <f t="shared" si="73"/>
        <v>0</v>
      </c>
      <c r="AI103" s="150">
        <f t="shared" si="73"/>
        <v>0</v>
      </c>
      <c r="AJ103" s="150">
        <f t="shared" si="73"/>
        <v>0</v>
      </c>
      <c r="AK103" s="150"/>
      <c r="AL103" s="151">
        <f t="shared" si="74"/>
        <v>0</v>
      </c>
      <c r="AM103" s="152"/>
      <c r="AP103" s="29" t="str">
        <f t="shared" si="67"/>
        <v>0</v>
      </c>
      <c r="AQ103" s="29" t="str">
        <f t="shared" si="68"/>
        <v>0</v>
      </c>
    </row>
    <row r="104" spans="2:43">
      <c r="J104" s="196"/>
      <c r="O104" s="189" t="s">
        <v>132</v>
      </c>
      <c r="P104" s="190"/>
      <c r="Q104" s="190"/>
      <c r="R104" s="15"/>
      <c r="S104" s="15"/>
      <c r="T104" s="191">
        <f t="shared" si="69"/>
        <v>0</v>
      </c>
      <c r="U104" s="192">
        <f t="shared" si="70"/>
        <v>0</v>
      </c>
      <c r="V104" s="191">
        <f t="shared" si="75"/>
        <v>0</v>
      </c>
      <c r="W104" s="197">
        <f t="shared" si="76"/>
        <v>0</v>
      </c>
      <c r="X104" s="194">
        <f t="shared" si="71"/>
        <v>0</v>
      </c>
      <c r="Y104" s="195">
        <f t="shared" si="71"/>
        <v>0</v>
      </c>
      <c r="Z104" s="15"/>
      <c r="AA104" s="23" t="str">
        <f t="shared" si="72"/>
        <v>Sub 3</v>
      </c>
      <c r="AB104" s="150">
        <f t="shared" si="73"/>
        <v>0</v>
      </c>
      <c r="AC104" s="150">
        <f t="shared" si="73"/>
        <v>0</v>
      </c>
      <c r="AD104" s="150">
        <f t="shared" si="73"/>
        <v>0</v>
      </c>
      <c r="AE104" s="150">
        <f t="shared" si="73"/>
        <v>0</v>
      </c>
      <c r="AF104" s="150">
        <f t="shared" si="73"/>
        <v>0</v>
      </c>
      <c r="AG104" s="150">
        <f t="shared" si="73"/>
        <v>0</v>
      </c>
      <c r="AH104" s="150">
        <f t="shared" si="73"/>
        <v>0</v>
      </c>
      <c r="AI104" s="150">
        <f t="shared" si="73"/>
        <v>0</v>
      </c>
      <c r="AJ104" s="150">
        <f t="shared" si="73"/>
        <v>0</v>
      </c>
      <c r="AK104" s="150"/>
      <c r="AL104" s="151">
        <f t="shared" si="74"/>
        <v>0</v>
      </c>
      <c r="AM104" s="152"/>
      <c r="AP104" s="29" t="str">
        <f t="shared" si="67"/>
        <v>0</v>
      </c>
      <c r="AQ104" s="29" t="str">
        <f t="shared" si="68"/>
        <v>0</v>
      </c>
    </row>
    <row r="105" spans="2:43">
      <c r="O105" s="189" t="s">
        <v>133</v>
      </c>
      <c r="P105" s="190"/>
      <c r="Q105" s="190"/>
      <c r="R105" s="15"/>
      <c r="S105" s="15"/>
      <c r="T105" s="191">
        <f t="shared" si="69"/>
        <v>0</v>
      </c>
      <c r="U105" s="192">
        <f t="shared" si="70"/>
        <v>0</v>
      </c>
      <c r="V105" s="191">
        <f t="shared" si="75"/>
        <v>0</v>
      </c>
      <c r="W105" s="197">
        <f t="shared" si="76"/>
        <v>0</v>
      </c>
      <c r="X105" s="194">
        <f t="shared" si="71"/>
        <v>0</v>
      </c>
      <c r="Y105" s="195">
        <f t="shared" si="71"/>
        <v>0</v>
      </c>
      <c r="Z105" s="15"/>
      <c r="AA105" s="23" t="str">
        <f t="shared" si="72"/>
        <v>Sub 4</v>
      </c>
      <c r="AB105" s="150">
        <f t="shared" si="73"/>
        <v>0</v>
      </c>
      <c r="AC105" s="150">
        <f t="shared" si="73"/>
        <v>0</v>
      </c>
      <c r="AD105" s="150">
        <f t="shared" si="73"/>
        <v>0</v>
      </c>
      <c r="AE105" s="150">
        <f t="shared" si="73"/>
        <v>0</v>
      </c>
      <c r="AF105" s="150">
        <f t="shared" si="73"/>
        <v>0</v>
      </c>
      <c r="AG105" s="150">
        <f t="shared" si="73"/>
        <v>0</v>
      </c>
      <c r="AH105" s="150">
        <f t="shared" si="73"/>
        <v>0</v>
      </c>
      <c r="AI105" s="150">
        <f t="shared" si="73"/>
        <v>0</v>
      </c>
      <c r="AJ105" s="150">
        <f t="shared" si="73"/>
        <v>0</v>
      </c>
      <c r="AK105" s="150"/>
      <c r="AL105" s="151">
        <f t="shared" si="74"/>
        <v>0</v>
      </c>
      <c r="AM105" s="152"/>
      <c r="AP105" s="29" t="str">
        <f t="shared" si="67"/>
        <v>0</v>
      </c>
      <c r="AQ105" s="29" t="str">
        <f t="shared" si="68"/>
        <v>0</v>
      </c>
    </row>
    <row r="106" spans="2:43">
      <c r="O106" s="189" t="s">
        <v>134</v>
      </c>
      <c r="P106" s="190"/>
      <c r="Q106" s="190"/>
      <c r="R106" s="15"/>
      <c r="S106" s="15"/>
      <c r="T106" s="191">
        <f t="shared" si="69"/>
        <v>0</v>
      </c>
      <c r="U106" s="192">
        <f t="shared" si="70"/>
        <v>0</v>
      </c>
      <c r="V106" s="191">
        <f t="shared" si="75"/>
        <v>0</v>
      </c>
      <c r="W106" s="197">
        <f t="shared" si="76"/>
        <v>0</v>
      </c>
      <c r="X106" s="194">
        <f t="shared" si="71"/>
        <v>0</v>
      </c>
      <c r="Y106" s="195">
        <f t="shared" si="71"/>
        <v>0</v>
      </c>
      <c r="Z106" s="15"/>
      <c r="AA106" s="23" t="str">
        <f t="shared" si="72"/>
        <v>Sub 5</v>
      </c>
      <c r="AB106" s="150">
        <f t="shared" si="73"/>
        <v>0</v>
      </c>
      <c r="AC106" s="150">
        <f t="shared" si="73"/>
        <v>0</v>
      </c>
      <c r="AD106" s="150">
        <f t="shared" si="73"/>
        <v>0</v>
      </c>
      <c r="AE106" s="150">
        <f t="shared" si="73"/>
        <v>0</v>
      </c>
      <c r="AF106" s="150">
        <f t="shared" si="73"/>
        <v>0</v>
      </c>
      <c r="AG106" s="150">
        <f t="shared" si="73"/>
        <v>0</v>
      </c>
      <c r="AH106" s="150">
        <f t="shared" si="73"/>
        <v>0</v>
      </c>
      <c r="AI106" s="150">
        <f t="shared" si="73"/>
        <v>0</v>
      </c>
      <c r="AJ106" s="150">
        <f t="shared" si="73"/>
        <v>0</v>
      </c>
      <c r="AK106" s="150"/>
      <c r="AL106" s="151">
        <f t="shared" si="74"/>
        <v>0</v>
      </c>
      <c r="AM106" s="152"/>
      <c r="AP106" s="29" t="str">
        <f t="shared" si="67"/>
        <v>0</v>
      </c>
      <c r="AQ106" s="29" t="str">
        <f t="shared" si="68"/>
        <v>0</v>
      </c>
    </row>
    <row r="107" spans="2:43">
      <c r="O107" s="189" t="s">
        <v>135</v>
      </c>
      <c r="P107" s="190"/>
      <c r="Q107" s="190"/>
      <c r="R107" s="15"/>
      <c r="S107" s="15"/>
      <c r="T107" s="191">
        <f t="shared" si="69"/>
        <v>0</v>
      </c>
      <c r="U107" s="192">
        <f t="shared" si="70"/>
        <v>0</v>
      </c>
      <c r="V107" s="191">
        <f t="shared" si="75"/>
        <v>0</v>
      </c>
      <c r="W107" s="197">
        <f t="shared" si="76"/>
        <v>0</v>
      </c>
      <c r="X107" s="194">
        <f t="shared" si="71"/>
        <v>0</v>
      </c>
      <c r="Y107" s="195">
        <f t="shared" si="71"/>
        <v>0</v>
      </c>
      <c r="Z107" s="15"/>
      <c r="AA107" s="23" t="str">
        <f t="shared" si="72"/>
        <v>Sub 6</v>
      </c>
      <c r="AB107" s="150">
        <f t="shared" si="73"/>
        <v>0</v>
      </c>
      <c r="AC107" s="150">
        <f t="shared" si="73"/>
        <v>0</v>
      </c>
      <c r="AD107" s="150">
        <f t="shared" si="73"/>
        <v>0</v>
      </c>
      <c r="AE107" s="150">
        <f t="shared" si="73"/>
        <v>0</v>
      </c>
      <c r="AF107" s="150">
        <f t="shared" si="73"/>
        <v>0</v>
      </c>
      <c r="AG107" s="150">
        <f t="shared" si="73"/>
        <v>0</v>
      </c>
      <c r="AH107" s="150">
        <f t="shared" si="73"/>
        <v>0</v>
      </c>
      <c r="AI107" s="150">
        <f t="shared" si="73"/>
        <v>0</v>
      </c>
      <c r="AJ107" s="150">
        <f t="shared" si="73"/>
        <v>0</v>
      </c>
      <c r="AK107" s="150"/>
      <c r="AL107" s="151">
        <f t="shared" si="74"/>
        <v>0</v>
      </c>
      <c r="AM107" s="152"/>
      <c r="AP107" s="29" t="str">
        <f t="shared" si="67"/>
        <v>0</v>
      </c>
      <c r="AQ107" s="29" t="str">
        <f t="shared" si="68"/>
        <v>0</v>
      </c>
    </row>
    <row r="108" spans="2:43">
      <c r="O108" s="189" t="s">
        <v>136</v>
      </c>
      <c r="P108" s="190"/>
      <c r="Q108" s="190"/>
      <c r="R108" s="15"/>
      <c r="S108" s="15"/>
      <c r="T108" s="191">
        <f t="shared" si="69"/>
        <v>0</v>
      </c>
      <c r="U108" s="192">
        <f t="shared" si="70"/>
        <v>0</v>
      </c>
      <c r="V108" s="191">
        <f t="shared" si="75"/>
        <v>0</v>
      </c>
      <c r="W108" s="197">
        <f t="shared" si="76"/>
        <v>0</v>
      </c>
      <c r="X108" s="194">
        <f t="shared" si="71"/>
        <v>0</v>
      </c>
      <c r="Y108" s="195">
        <f t="shared" si="71"/>
        <v>0</v>
      </c>
      <c r="Z108" s="15"/>
      <c r="AA108" s="23" t="str">
        <f t="shared" si="72"/>
        <v>Sub 7</v>
      </c>
      <c r="AB108" s="150">
        <f t="shared" si="73"/>
        <v>0</v>
      </c>
      <c r="AC108" s="150">
        <f t="shared" si="73"/>
        <v>0</v>
      </c>
      <c r="AD108" s="150">
        <f t="shared" si="73"/>
        <v>0</v>
      </c>
      <c r="AE108" s="150">
        <f t="shared" si="73"/>
        <v>0</v>
      </c>
      <c r="AF108" s="150">
        <f t="shared" si="73"/>
        <v>0</v>
      </c>
      <c r="AG108" s="150">
        <f t="shared" si="73"/>
        <v>0</v>
      </c>
      <c r="AH108" s="150">
        <f t="shared" si="73"/>
        <v>0</v>
      </c>
      <c r="AI108" s="150">
        <f t="shared" si="73"/>
        <v>0</v>
      </c>
      <c r="AJ108" s="150">
        <f t="shared" si="73"/>
        <v>0</v>
      </c>
      <c r="AK108" s="150"/>
      <c r="AL108" s="151">
        <f t="shared" si="74"/>
        <v>0</v>
      </c>
      <c r="AM108" s="152"/>
      <c r="AP108" s="29" t="str">
        <f t="shared" si="67"/>
        <v>0</v>
      </c>
      <c r="AQ108" s="29" t="str">
        <f t="shared" si="68"/>
        <v>0</v>
      </c>
    </row>
    <row r="109" spans="2:43">
      <c r="O109" s="189" t="s">
        <v>137</v>
      </c>
      <c r="P109" s="190"/>
      <c r="Q109" s="190"/>
      <c r="R109" s="15"/>
      <c r="S109" s="15"/>
      <c r="T109" s="191">
        <f t="shared" si="69"/>
        <v>0</v>
      </c>
      <c r="U109" s="192">
        <f t="shared" si="70"/>
        <v>0</v>
      </c>
      <c r="V109" s="191">
        <f t="shared" si="75"/>
        <v>0</v>
      </c>
      <c r="W109" s="197">
        <f t="shared" si="76"/>
        <v>0</v>
      </c>
      <c r="X109" s="194">
        <f t="shared" si="71"/>
        <v>0</v>
      </c>
      <c r="Y109" s="195">
        <f t="shared" si="71"/>
        <v>0</v>
      </c>
      <c r="Z109" s="15"/>
      <c r="AA109" s="23" t="str">
        <f t="shared" si="72"/>
        <v>Sub 8</v>
      </c>
      <c r="AB109" s="150">
        <f t="shared" si="73"/>
        <v>0</v>
      </c>
      <c r="AC109" s="150">
        <f t="shared" si="73"/>
        <v>0</v>
      </c>
      <c r="AD109" s="150">
        <f t="shared" si="73"/>
        <v>0</v>
      </c>
      <c r="AE109" s="150">
        <f t="shared" si="73"/>
        <v>0</v>
      </c>
      <c r="AF109" s="150">
        <f t="shared" si="73"/>
        <v>0</v>
      </c>
      <c r="AG109" s="150">
        <f t="shared" si="73"/>
        <v>0</v>
      </c>
      <c r="AH109" s="150">
        <f t="shared" si="73"/>
        <v>0</v>
      </c>
      <c r="AI109" s="150">
        <f t="shared" si="73"/>
        <v>0</v>
      </c>
      <c r="AJ109" s="150">
        <f t="shared" si="73"/>
        <v>0</v>
      </c>
      <c r="AK109" s="150"/>
      <c r="AL109" s="151">
        <f t="shared" si="74"/>
        <v>0</v>
      </c>
      <c r="AM109" s="152"/>
      <c r="AP109" s="29" t="str">
        <f t="shared" si="67"/>
        <v>0</v>
      </c>
      <c r="AQ109" s="29" t="str">
        <f t="shared" si="68"/>
        <v>0</v>
      </c>
    </row>
    <row r="110" spans="2:43">
      <c r="O110" s="189" t="s">
        <v>138</v>
      </c>
      <c r="P110" s="190"/>
      <c r="Q110" s="190"/>
      <c r="R110" s="15"/>
      <c r="S110" s="15"/>
      <c r="T110" s="191">
        <f t="shared" si="69"/>
        <v>0</v>
      </c>
      <c r="U110" s="192">
        <f t="shared" si="70"/>
        <v>0</v>
      </c>
      <c r="V110" s="191">
        <f t="shared" si="75"/>
        <v>0</v>
      </c>
      <c r="W110" s="197">
        <f t="shared" si="76"/>
        <v>0</v>
      </c>
      <c r="X110" s="194">
        <f t="shared" si="71"/>
        <v>0</v>
      </c>
      <c r="Y110" s="195">
        <f t="shared" si="71"/>
        <v>0</v>
      </c>
      <c r="Z110" s="15"/>
      <c r="AA110" s="23" t="str">
        <f t="shared" si="72"/>
        <v>Sub 9</v>
      </c>
      <c r="AB110" s="150">
        <f t="shared" si="73"/>
        <v>0</v>
      </c>
      <c r="AC110" s="150">
        <f t="shared" si="73"/>
        <v>0</v>
      </c>
      <c r="AD110" s="150">
        <f t="shared" si="73"/>
        <v>0</v>
      </c>
      <c r="AE110" s="150">
        <f t="shared" si="73"/>
        <v>0</v>
      </c>
      <c r="AF110" s="150">
        <f t="shared" si="73"/>
        <v>0</v>
      </c>
      <c r="AG110" s="150">
        <f t="shared" si="73"/>
        <v>0</v>
      </c>
      <c r="AH110" s="150">
        <f t="shared" si="73"/>
        <v>0</v>
      </c>
      <c r="AI110" s="150">
        <f t="shared" si="73"/>
        <v>0</v>
      </c>
      <c r="AJ110" s="150">
        <f t="shared" si="73"/>
        <v>0</v>
      </c>
      <c r="AK110" s="150"/>
      <c r="AL110" s="151">
        <f t="shared" si="74"/>
        <v>0</v>
      </c>
      <c r="AM110" s="152"/>
      <c r="AP110" s="29" t="str">
        <f t="shared" si="67"/>
        <v>0</v>
      </c>
      <c r="AQ110" s="29" t="str">
        <f t="shared" si="68"/>
        <v>0</v>
      </c>
    </row>
    <row r="111" spans="2:43">
      <c r="O111" s="189" t="s">
        <v>139</v>
      </c>
      <c r="P111" s="190"/>
      <c r="Q111" s="190"/>
      <c r="R111" s="15"/>
      <c r="S111" s="15"/>
      <c r="T111" s="191">
        <f t="shared" si="69"/>
        <v>0</v>
      </c>
      <c r="U111" s="192">
        <f t="shared" si="70"/>
        <v>0</v>
      </c>
      <c r="V111" s="191">
        <f t="shared" si="75"/>
        <v>0</v>
      </c>
      <c r="W111" s="197">
        <f t="shared" si="76"/>
        <v>0</v>
      </c>
      <c r="X111" s="194">
        <f t="shared" si="71"/>
        <v>0</v>
      </c>
      <c r="Y111" s="195">
        <f t="shared" si="71"/>
        <v>0</v>
      </c>
      <c r="Z111" s="15"/>
      <c r="AA111" s="23" t="str">
        <f t="shared" si="72"/>
        <v>Sub 10</v>
      </c>
      <c r="AB111" s="150">
        <f t="shared" ref="AB111:AJ121" si="77">SUMIF($D$31:$D$56,$O111,AB$31:AB$95)</f>
        <v>0</v>
      </c>
      <c r="AC111" s="150">
        <f t="shared" si="77"/>
        <v>0</v>
      </c>
      <c r="AD111" s="150">
        <f t="shared" si="77"/>
        <v>0</v>
      </c>
      <c r="AE111" s="150">
        <f t="shared" si="77"/>
        <v>0</v>
      </c>
      <c r="AF111" s="150">
        <f t="shared" si="77"/>
        <v>0</v>
      </c>
      <c r="AG111" s="150">
        <f t="shared" si="77"/>
        <v>0</v>
      </c>
      <c r="AH111" s="150">
        <f t="shared" si="77"/>
        <v>0</v>
      </c>
      <c r="AI111" s="150">
        <f t="shared" si="77"/>
        <v>0</v>
      </c>
      <c r="AJ111" s="150">
        <f t="shared" si="77"/>
        <v>0</v>
      </c>
      <c r="AK111" s="150"/>
      <c r="AL111" s="151">
        <f t="shared" si="74"/>
        <v>0</v>
      </c>
      <c r="AM111" s="152"/>
      <c r="AP111" s="29" t="str">
        <f t="shared" si="67"/>
        <v>0</v>
      </c>
      <c r="AQ111" s="29" t="str">
        <f t="shared" si="68"/>
        <v>0</v>
      </c>
    </row>
    <row r="112" spans="2:43">
      <c r="O112" s="189" t="s">
        <v>140</v>
      </c>
      <c r="P112" s="190"/>
      <c r="Q112" s="190"/>
      <c r="R112" s="15"/>
      <c r="S112" s="15"/>
      <c r="T112" s="191">
        <f t="shared" si="69"/>
        <v>0</v>
      </c>
      <c r="U112" s="192">
        <f t="shared" si="70"/>
        <v>0</v>
      </c>
      <c r="V112" s="191">
        <f t="shared" si="75"/>
        <v>0</v>
      </c>
      <c r="W112" s="197">
        <f t="shared" si="76"/>
        <v>0</v>
      </c>
      <c r="X112" s="194">
        <f t="shared" si="71"/>
        <v>0</v>
      </c>
      <c r="Y112" s="195">
        <f t="shared" si="71"/>
        <v>0</v>
      </c>
      <c r="Z112" s="15"/>
      <c r="AA112" s="23" t="str">
        <f t="shared" si="72"/>
        <v>Sub 11</v>
      </c>
      <c r="AB112" s="150">
        <f t="shared" si="77"/>
        <v>0</v>
      </c>
      <c r="AC112" s="150">
        <f t="shared" si="77"/>
        <v>0</v>
      </c>
      <c r="AD112" s="150">
        <f t="shared" si="77"/>
        <v>0</v>
      </c>
      <c r="AE112" s="150">
        <f t="shared" si="77"/>
        <v>0</v>
      </c>
      <c r="AF112" s="150">
        <f t="shared" si="77"/>
        <v>0</v>
      </c>
      <c r="AG112" s="150">
        <f t="shared" si="77"/>
        <v>0</v>
      </c>
      <c r="AH112" s="150">
        <f t="shared" si="77"/>
        <v>0</v>
      </c>
      <c r="AI112" s="150">
        <f t="shared" si="77"/>
        <v>0</v>
      </c>
      <c r="AJ112" s="150">
        <f t="shared" si="77"/>
        <v>0</v>
      </c>
      <c r="AK112" s="150"/>
      <c r="AL112" s="151">
        <f t="shared" si="74"/>
        <v>0</v>
      </c>
      <c r="AM112" s="152"/>
      <c r="AP112" s="29" t="str">
        <f t="shared" si="67"/>
        <v>0</v>
      </c>
      <c r="AQ112" s="29" t="str">
        <f t="shared" si="68"/>
        <v>0</v>
      </c>
    </row>
    <row r="113" spans="15:43">
      <c r="O113" s="189" t="s">
        <v>141</v>
      </c>
      <c r="P113" s="190"/>
      <c r="Q113" s="190"/>
      <c r="R113" s="15"/>
      <c r="S113" s="15"/>
      <c r="T113" s="191">
        <f t="shared" si="69"/>
        <v>0</v>
      </c>
      <c r="U113" s="192">
        <f t="shared" si="70"/>
        <v>0</v>
      </c>
      <c r="V113" s="191">
        <f t="shared" si="75"/>
        <v>0</v>
      </c>
      <c r="W113" s="197">
        <f t="shared" si="76"/>
        <v>0</v>
      </c>
      <c r="X113" s="194">
        <f t="shared" si="71"/>
        <v>0</v>
      </c>
      <c r="Y113" s="195">
        <f t="shared" si="71"/>
        <v>0</v>
      </c>
      <c r="Z113" s="15"/>
      <c r="AA113" s="23" t="str">
        <f t="shared" si="72"/>
        <v>Sub 12</v>
      </c>
      <c r="AB113" s="150">
        <f t="shared" si="77"/>
        <v>0</v>
      </c>
      <c r="AC113" s="150">
        <f t="shared" si="77"/>
        <v>0</v>
      </c>
      <c r="AD113" s="150">
        <f t="shared" si="77"/>
        <v>0</v>
      </c>
      <c r="AE113" s="150">
        <f t="shared" si="77"/>
        <v>0</v>
      </c>
      <c r="AF113" s="150">
        <f t="shared" si="77"/>
        <v>0</v>
      </c>
      <c r="AG113" s="150">
        <f t="shared" si="77"/>
        <v>0</v>
      </c>
      <c r="AH113" s="150">
        <f t="shared" si="77"/>
        <v>0</v>
      </c>
      <c r="AI113" s="150">
        <f t="shared" si="77"/>
        <v>0</v>
      </c>
      <c r="AJ113" s="150">
        <f t="shared" si="77"/>
        <v>0</v>
      </c>
      <c r="AK113" s="150"/>
      <c r="AL113" s="151">
        <f t="shared" si="74"/>
        <v>0</v>
      </c>
      <c r="AM113" s="152"/>
      <c r="AP113" s="29" t="str">
        <f t="shared" si="67"/>
        <v>0</v>
      </c>
      <c r="AQ113" s="29" t="str">
        <f t="shared" si="68"/>
        <v>0</v>
      </c>
    </row>
    <row r="114" spans="15:43">
      <c r="O114" s="189" t="s">
        <v>142</v>
      </c>
      <c r="P114" s="190"/>
      <c r="Q114" s="190"/>
      <c r="R114" s="15"/>
      <c r="S114" s="15"/>
      <c r="T114" s="191">
        <f t="shared" si="69"/>
        <v>0</v>
      </c>
      <c r="U114" s="192">
        <f t="shared" si="70"/>
        <v>0</v>
      </c>
      <c r="V114" s="191">
        <f t="shared" si="75"/>
        <v>0</v>
      </c>
      <c r="W114" s="197">
        <f t="shared" si="76"/>
        <v>0</v>
      </c>
      <c r="X114" s="194">
        <f t="shared" si="71"/>
        <v>0</v>
      </c>
      <c r="Y114" s="195">
        <f t="shared" si="71"/>
        <v>0</v>
      </c>
      <c r="Z114" s="15"/>
      <c r="AA114" s="23" t="str">
        <f t="shared" si="72"/>
        <v>Sub 13</v>
      </c>
      <c r="AB114" s="150">
        <f t="shared" si="77"/>
        <v>0</v>
      </c>
      <c r="AC114" s="150">
        <f t="shared" si="77"/>
        <v>0</v>
      </c>
      <c r="AD114" s="150">
        <f t="shared" si="77"/>
        <v>0</v>
      </c>
      <c r="AE114" s="150">
        <f t="shared" si="77"/>
        <v>0</v>
      </c>
      <c r="AF114" s="150">
        <f t="shared" si="77"/>
        <v>0</v>
      </c>
      <c r="AG114" s="150">
        <f t="shared" si="77"/>
        <v>0</v>
      </c>
      <c r="AH114" s="150">
        <f t="shared" si="77"/>
        <v>0</v>
      </c>
      <c r="AI114" s="150">
        <f t="shared" si="77"/>
        <v>0</v>
      </c>
      <c r="AJ114" s="150">
        <f t="shared" si="77"/>
        <v>0</v>
      </c>
      <c r="AK114" s="150"/>
      <c r="AL114" s="151">
        <f t="shared" si="74"/>
        <v>0</v>
      </c>
      <c r="AM114" s="152"/>
      <c r="AP114" s="29" t="str">
        <f t="shared" si="67"/>
        <v>0</v>
      </c>
      <c r="AQ114" s="29" t="str">
        <f t="shared" si="68"/>
        <v>0</v>
      </c>
    </row>
    <row r="115" spans="15:43">
      <c r="O115" s="189" t="s">
        <v>143</v>
      </c>
      <c r="P115" s="190"/>
      <c r="Q115" s="190"/>
      <c r="R115" s="15"/>
      <c r="S115" s="15"/>
      <c r="T115" s="191">
        <f t="shared" si="69"/>
        <v>0</v>
      </c>
      <c r="U115" s="192">
        <f t="shared" si="70"/>
        <v>0</v>
      </c>
      <c r="V115" s="191">
        <f t="shared" si="75"/>
        <v>0</v>
      </c>
      <c r="W115" s="197">
        <f t="shared" si="76"/>
        <v>0</v>
      </c>
      <c r="X115" s="194">
        <f t="shared" si="71"/>
        <v>0</v>
      </c>
      <c r="Y115" s="195">
        <f t="shared" si="71"/>
        <v>0</v>
      </c>
      <c r="Z115" s="15"/>
      <c r="AA115" s="23" t="str">
        <f t="shared" si="72"/>
        <v>Sub 14</v>
      </c>
      <c r="AB115" s="150">
        <f t="shared" si="77"/>
        <v>0</v>
      </c>
      <c r="AC115" s="150">
        <f t="shared" si="77"/>
        <v>0</v>
      </c>
      <c r="AD115" s="150">
        <f t="shared" si="77"/>
        <v>0</v>
      </c>
      <c r="AE115" s="150">
        <f t="shared" si="77"/>
        <v>0</v>
      </c>
      <c r="AF115" s="150">
        <f t="shared" si="77"/>
        <v>0</v>
      </c>
      <c r="AG115" s="150">
        <f t="shared" si="77"/>
        <v>0</v>
      </c>
      <c r="AH115" s="150">
        <f t="shared" si="77"/>
        <v>0</v>
      </c>
      <c r="AI115" s="150">
        <f t="shared" si="77"/>
        <v>0</v>
      </c>
      <c r="AJ115" s="150">
        <f t="shared" si="77"/>
        <v>0</v>
      </c>
      <c r="AK115" s="150"/>
      <c r="AL115" s="151">
        <f t="shared" si="74"/>
        <v>0</v>
      </c>
      <c r="AM115" s="152"/>
      <c r="AP115" s="29" t="str">
        <f t="shared" si="67"/>
        <v>0</v>
      </c>
      <c r="AQ115" s="29" t="str">
        <f t="shared" si="68"/>
        <v>0</v>
      </c>
    </row>
    <row r="116" spans="15:43">
      <c r="O116" s="189" t="s">
        <v>144</v>
      </c>
      <c r="P116" s="190"/>
      <c r="Q116" s="190"/>
      <c r="R116" s="15"/>
      <c r="S116" s="15"/>
      <c r="T116" s="191">
        <f t="shared" si="69"/>
        <v>0</v>
      </c>
      <c r="U116" s="192">
        <f t="shared" si="70"/>
        <v>0</v>
      </c>
      <c r="V116" s="191">
        <f t="shared" si="75"/>
        <v>0</v>
      </c>
      <c r="W116" s="197">
        <f t="shared" si="76"/>
        <v>0</v>
      </c>
      <c r="X116" s="194">
        <f t="shared" si="71"/>
        <v>0</v>
      </c>
      <c r="Y116" s="195">
        <f t="shared" si="71"/>
        <v>0</v>
      </c>
      <c r="Z116" s="15"/>
      <c r="AA116" s="23" t="str">
        <f t="shared" si="72"/>
        <v>Sub 15</v>
      </c>
      <c r="AB116" s="150">
        <f t="shared" si="77"/>
        <v>0</v>
      </c>
      <c r="AC116" s="150">
        <f t="shared" si="77"/>
        <v>0</v>
      </c>
      <c r="AD116" s="150">
        <f t="shared" si="77"/>
        <v>0</v>
      </c>
      <c r="AE116" s="150">
        <f t="shared" si="77"/>
        <v>0</v>
      </c>
      <c r="AF116" s="150">
        <f t="shared" si="77"/>
        <v>0</v>
      </c>
      <c r="AG116" s="150">
        <f t="shared" si="77"/>
        <v>0</v>
      </c>
      <c r="AH116" s="150">
        <f t="shared" si="77"/>
        <v>0</v>
      </c>
      <c r="AI116" s="150">
        <f t="shared" si="77"/>
        <v>0</v>
      </c>
      <c r="AJ116" s="150">
        <f t="shared" si="77"/>
        <v>0</v>
      </c>
      <c r="AK116" s="150"/>
      <c r="AL116" s="151">
        <f t="shared" si="74"/>
        <v>0</v>
      </c>
      <c r="AM116" s="152"/>
      <c r="AP116" s="29" t="str">
        <f t="shared" si="67"/>
        <v>0</v>
      </c>
      <c r="AQ116" s="29" t="str">
        <f t="shared" si="68"/>
        <v>0</v>
      </c>
    </row>
    <row r="117" spans="15:43">
      <c r="O117" s="189" t="s">
        <v>145</v>
      </c>
      <c r="P117" s="190"/>
      <c r="Q117" s="190"/>
      <c r="R117" s="15"/>
      <c r="S117" s="15"/>
      <c r="T117" s="191">
        <f t="shared" si="69"/>
        <v>0</v>
      </c>
      <c r="U117" s="192">
        <f t="shared" si="70"/>
        <v>0</v>
      </c>
      <c r="V117" s="191">
        <f t="shared" si="75"/>
        <v>0</v>
      </c>
      <c r="W117" s="197">
        <f t="shared" si="76"/>
        <v>0</v>
      </c>
      <c r="X117" s="194">
        <f t="shared" si="71"/>
        <v>0</v>
      </c>
      <c r="Y117" s="195">
        <f t="shared" si="71"/>
        <v>0</v>
      </c>
      <c r="Z117" s="15"/>
      <c r="AA117" s="23" t="str">
        <f t="shared" si="72"/>
        <v>Sub 16</v>
      </c>
      <c r="AB117" s="150">
        <f t="shared" si="77"/>
        <v>0</v>
      </c>
      <c r="AC117" s="150">
        <f t="shared" si="77"/>
        <v>0</v>
      </c>
      <c r="AD117" s="150">
        <f t="shared" si="77"/>
        <v>0</v>
      </c>
      <c r="AE117" s="150">
        <f t="shared" si="77"/>
        <v>0</v>
      </c>
      <c r="AF117" s="150">
        <f t="shared" si="77"/>
        <v>0</v>
      </c>
      <c r="AG117" s="150">
        <f t="shared" si="77"/>
        <v>0</v>
      </c>
      <c r="AH117" s="150">
        <f t="shared" si="77"/>
        <v>0</v>
      </c>
      <c r="AI117" s="150">
        <f t="shared" si="77"/>
        <v>0</v>
      </c>
      <c r="AJ117" s="150">
        <f t="shared" si="77"/>
        <v>0</v>
      </c>
      <c r="AK117" s="150"/>
      <c r="AL117" s="151">
        <f t="shared" si="74"/>
        <v>0</v>
      </c>
      <c r="AM117" s="152"/>
      <c r="AP117" s="29" t="str">
        <f t="shared" si="67"/>
        <v>0</v>
      </c>
      <c r="AQ117" s="29" t="str">
        <f t="shared" si="68"/>
        <v>0</v>
      </c>
    </row>
    <row r="118" spans="15:43">
      <c r="O118" s="189" t="s">
        <v>146</v>
      </c>
      <c r="P118" s="190"/>
      <c r="Q118" s="190"/>
      <c r="R118" s="15"/>
      <c r="S118" s="15"/>
      <c r="T118" s="191">
        <f t="shared" si="69"/>
        <v>0</v>
      </c>
      <c r="U118" s="192">
        <f t="shared" si="70"/>
        <v>0</v>
      </c>
      <c r="V118" s="191">
        <f t="shared" si="75"/>
        <v>0</v>
      </c>
      <c r="W118" s="197">
        <f t="shared" si="76"/>
        <v>0</v>
      </c>
      <c r="X118" s="194">
        <f t="shared" si="71"/>
        <v>0</v>
      </c>
      <c r="Y118" s="195">
        <f t="shared" si="71"/>
        <v>0</v>
      </c>
      <c r="Z118" s="15"/>
      <c r="AA118" s="23" t="str">
        <f t="shared" si="72"/>
        <v>Sub 17</v>
      </c>
      <c r="AB118" s="150">
        <f t="shared" si="77"/>
        <v>0</v>
      </c>
      <c r="AC118" s="150">
        <f t="shared" si="77"/>
        <v>0</v>
      </c>
      <c r="AD118" s="150">
        <f t="shared" si="77"/>
        <v>0</v>
      </c>
      <c r="AE118" s="150">
        <f t="shared" si="77"/>
        <v>0</v>
      </c>
      <c r="AF118" s="150">
        <f t="shared" si="77"/>
        <v>0</v>
      </c>
      <c r="AG118" s="150">
        <f t="shared" si="77"/>
        <v>0</v>
      </c>
      <c r="AH118" s="150">
        <f t="shared" si="77"/>
        <v>0</v>
      </c>
      <c r="AI118" s="150">
        <f t="shared" si="77"/>
        <v>0</v>
      </c>
      <c r="AJ118" s="150">
        <f t="shared" si="77"/>
        <v>0</v>
      </c>
      <c r="AK118" s="150"/>
      <c r="AL118" s="151">
        <f t="shared" si="74"/>
        <v>0</v>
      </c>
      <c r="AM118" s="152"/>
      <c r="AP118" s="29" t="str">
        <f t="shared" si="67"/>
        <v>0</v>
      </c>
      <c r="AQ118" s="29" t="str">
        <f t="shared" si="68"/>
        <v>0</v>
      </c>
    </row>
    <row r="119" spans="15:43">
      <c r="O119" s="189" t="s">
        <v>147</v>
      </c>
      <c r="P119" s="190"/>
      <c r="Q119" s="190"/>
      <c r="R119" s="15"/>
      <c r="S119" s="15"/>
      <c r="T119" s="191">
        <f t="shared" si="69"/>
        <v>0</v>
      </c>
      <c r="U119" s="192">
        <f t="shared" si="70"/>
        <v>0</v>
      </c>
      <c r="V119" s="191">
        <f t="shared" si="75"/>
        <v>0</v>
      </c>
      <c r="W119" s="197">
        <f t="shared" si="76"/>
        <v>0</v>
      </c>
      <c r="X119" s="194">
        <f t="shared" si="71"/>
        <v>0</v>
      </c>
      <c r="Y119" s="195">
        <f t="shared" si="71"/>
        <v>0</v>
      </c>
      <c r="Z119" s="15"/>
      <c r="AA119" s="23" t="str">
        <f t="shared" si="72"/>
        <v>Sub 18</v>
      </c>
      <c r="AB119" s="150">
        <f t="shared" si="77"/>
        <v>0</v>
      </c>
      <c r="AC119" s="150">
        <f t="shared" si="77"/>
        <v>0</v>
      </c>
      <c r="AD119" s="150">
        <f t="shared" si="77"/>
        <v>0</v>
      </c>
      <c r="AE119" s="150">
        <f t="shared" si="77"/>
        <v>0</v>
      </c>
      <c r="AF119" s="150">
        <f t="shared" si="77"/>
        <v>0</v>
      </c>
      <c r="AG119" s="150">
        <f t="shared" si="77"/>
        <v>0</v>
      </c>
      <c r="AH119" s="150">
        <f t="shared" si="77"/>
        <v>0</v>
      </c>
      <c r="AI119" s="150">
        <f t="shared" si="77"/>
        <v>0</v>
      </c>
      <c r="AJ119" s="150">
        <f t="shared" si="77"/>
        <v>0</v>
      </c>
      <c r="AK119" s="150"/>
      <c r="AL119" s="151">
        <f t="shared" si="74"/>
        <v>0</v>
      </c>
      <c r="AM119" s="152"/>
      <c r="AP119" s="29" t="str">
        <f t="shared" si="67"/>
        <v>0</v>
      </c>
      <c r="AQ119" s="29" t="str">
        <f t="shared" si="68"/>
        <v>0</v>
      </c>
    </row>
    <row r="120" spans="15:43">
      <c r="O120" s="189" t="s">
        <v>148</v>
      </c>
      <c r="P120" s="190"/>
      <c r="Q120" s="190"/>
      <c r="R120" s="15"/>
      <c r="S120" s="15"/>
      <c r="T120" s="191">
        <f t="shared" si="69"/>
        <v>0</v>
      </c>
      <c r="U120" s="192">
        <f t="shared" si="70"/>
        <v>0</v>
      </c>
      <c r="V120" s="191">
        <f t="shared" si="75"/>
        <v>0</v>
      </c>
      <c r="W120" s="197">
        <f t="shared" si="76"/>
        <v>0</v>
      </c>
      <c r="X120" s="194">
        <f t="shared" si="71"/>
        <v>0</v>
      </c>
      <c r="Y120" s="195">
        <f t="shared" si="71"/>
        <v>0</v>
      </c>
      <c r="Z120" s="15"/>
      <c r="AA120" s="23" t="str">
        <f t="shared" si="72"/>
        <v>Sub 19</v>
      </c>
      <c r="AB120" s="150">
        <f t="shared" si="77"/>
        <v>0</v>
      </c>
      <c r="AC120" s="150">
        <f t="shared" si="77"/>
        <v>0</v>
      </c>
      <c r="AD120" s="150">
        <f t="shared" si="77"/>
        <v>0</v>
      </c>
      <c r="AE120" s="150">
        <f t="shared" si="77"/>
        <v>0</v>
      </c>
      <c r="AF120" s="150">
        <f t="shared" si="77"/>
        <v>0</v>
      </c>
      <c r="AG120" s="150">
        <f t="shared" si="77"/>
        <v>0</v>
      </c>
      <c r="AH120" s="150">
        <f t="shared" si="77"/>
        <v>0</v>
      </c>
      <c r="AI120" s="150">
        <f t="shared" si="77"/>
        <v>0</v>
      </c>
      <c r="AJ120" s="150">
        <f t="shared" si="77"/>
        <v>0</v>
      </c>
      <c r="AK120" s="150"/>
      <c r="AL120" s="151">
        <f t="shared" si="74"/>
        <v>0</v>
      </c>
      <c r="AM120" s="152"/>
      <c r="AP120" s="29" t="str">
        <f t="shared" si="67"/>
        <v>0</v>
      </c>
      <c r="AQ120" s="29" t="str">
        <f t="shared" si="68"/>
        <v>0</v>
      </c>
    </row>
    <row r="121" spans="15:43">
      <c r="O121" s="189" t="s">
        <v>149</v>
      </c>
      <c r="P121" s="190"/>
      <c r="Q121" s="190"/>
      <c r="R121" s="15"/>
      <c r="S121" s="15"/>
      <c r="T121" s="191">
        <f t="shared" si="69"/>
        <v>0</v>
      </c>
      <c r="U121" s="192">
        <f t="shared" si="70"/>
        <v>0</v>
      </c>
      <c r="V121" s="191">
        <f t="shared" si="75"/>
        <v>0</v>
      </c>
      <c r="W121" s="197">
        <f t="shared" si="76"/>
        <v>0</v>
      </c>
      <c r="X121" s="194">
        <f t="shared" si="71"/>
        <v>0</v>
      </c>
      <c r="Y121" s="195">
        <f t="shared" si="71"/>
        <v>0</v>
      </c>
      <c r="Z121" s="15"/>
      <c r="AA121" s="23" t="str">
        <f t="shared" si="72"/>
        <v>Sub 20</v>
      </c>
      <c r="AB121" s="150">
        <f t="shared" si="77"/>
        <v>0</v>
      </c>
      <c r="AC121" s="150">
        <f t="shared" si="77"/>
        <v>0</v>
      </c>
      <c r="AD121" s="150">
        <f t="shared" si="77"/>
        <v>0</v>
      </c>
      <c r="AE121" s="150">
        <f t="shared" si="77"/>
        <v>0</v>
      </c>
      <c r="AF121" s="150">
        <f t="shared" si="77"/>
        <v>0</v>
      </c>
      <c r="AG121" s="150">
        <f t="shared" si="77"/>
        <v>0</v>
      </c>
      <c r="AH121" s="150">
        <f t="shared" si="77"/>
        <v>0</v>
      </c>
      <c r="AI121" s="150">
        <f t="shared" si="77"/>
        <v>0</v>
      </c>
      <c r="AJ121" s="150">
        <f t="shared" si="77"/>
        <v>0</v>
      </c>
      <c r="AK121" s="150"/>
      <c r="AL121" s="151">
        <f t="shared" si="74"/>
        <v>0</v>
      </c>
      <c r="AM121" s="152"/>
      <c r="AP121" s="29" t="str">
        <f t="shared" si="67"/>
        <v>0</v>
      </c>
      <c r="AQ121" s="29" t="str">
        <f t="shared" si="68"/>
        <v>0</v>
      </c>
    </row>
    <row r="122" spans="15:43" ht="13.5" thickBot="1">
      <c r="O122" s="198" t="s">
        <v>103</v>
      </c>
      <c r="P122" s="199"/>
      <c r="Q122" s="199"/>
      <c r="R122" s="199"/>
      <c r="S122" s="199"/>
      <c r="T122" s="198"/>
      <c r="U122" s="200"/>
      <c r="V122" s="198"/>
      <c r="W122" s="201"/>
      <c r="X122" s="202">
        <f>SUM(X101:X121)</f>
        <v>908</v>
      </c>
      <c r="Y122" s="203">
        <f ca="1">SUM(Y101:Y121)</f>
        <v>101817.56</v>
      </c>
      <c r="Z122" s="15"/>
      <c r="AB122" s="204">
        <f t="shared" ref="AB122:AJ122" ca="1" si="78">SUM(AB101:AB121)</f>
        <v>36682.36</v>
      </c>
      <c r="AC122" s="204">
        <f t="shared" ca="1" si="78"/>
        <v>16368.102499999999</v>
      </c>
      <c r="AD122" s="204">
        <f t="shared" ca="1" si="78"/>
        <v>10311.904575</v>
      </c>
      <c r="AE122" s="204">
        <f t="shared" ca="1" si="78"/>
        <v>129.40153846153845</v>
      </c>
      <c r="AF122" s="204">
        <f t="shared" ca="1" si="78"/>
        <v>0</v>
      </c>
      <c r="AG122" s="204">
        <f t="shared" ca="1" si="78"/>
        <v>7865.7082847325009</v>
      </c>
      <c r="AH122" s="204">
        <f t="shared" ca="1" si="78"/>
        <v>71357.476898194043</v>
      </c>
      <c r="AI122" s="204">
        <f t="shared" ca="1" si="78"/>
        <v>13280.945911529107</v>
      </c>
      <c r="AJ122" s="204">
        <f t="shared" ca="1" si="78"/>
        <v>84638.422809723153</v>
      </c>
      <c r="AK122" s="150"/>
      <c r="AL122" s="151">
        <f t="shared" ca="1" si="74"/>
        <v>-17179.137190276844</v>
      </c>
      <c r="AM122" s="152"/>
      <c r="AP122" s="29" t="str">
        <f t="shared" si="67"/>
        <v>1</v>
      </c>
      <c r="AQ122" s="29" t="str">
        <f t="shared" ca="1" si="68"/>
        <v>1</v>
      </c>
    </row>
    <row r="123" spans="15:43" ht="13.5" thickTop="1">
      <c r="O123" s="205"/>
      <c r="P123" s="154"/>
      <c r="Q123" s="154"/>
      <c r="R123" s="154"/>
      <c r="S123" s="154"/>
      <c r="T123" s="154"/>
      <c r="U123" s="154"/>
      <c r="V123" s="154"/>
      <c r="W123" s="154"/>
      <c r="X123" s="154"/>
      <c r="Y123" s="206"/>
      <c r="Z123" s="15"/>
      <c r="AP123" s="29" t="str">
        <f t="shared" si="67"/>
        <v>1</v>
      </c>
      <c r="AQ123" s="29" t="str">
        <f t="shared" si="68"/>
        <v>1</v>
      </c>
    </row>
  </sheetData>
  <autoFilter ref="AP29:AQ29"/>
  <mergeCells count="1">
    <mergeCell ref="C2:I2"/>
  </mergeCells>
  <phoneticPr fontId="0" type="noConversion"/>
  <conditionalFormatting sqref="O24">
    <cfRule type="cellIs" dxfId="0" priority="1" stopIfTrue="1" operator="greaterThan">
      <formula>0</formula>
    </cfRule>
  </conditionalFormatting>
  <dataValidations disablePrompts="1" count="2">
    <dataValidation type="list" allowBlank="1" showInputMessage="1" showErrorMessage="1" sqref="I32:I52">
      <formula1>$I$9:$I$25</formula1>
    </dataValidation>
    <dataValidation type="list" allowBlank="1" showInputMessage="1" showErrorMessage="1" sqref="D32:D52">
      <formula1>$O$101:$O$121</formula1>
    </dataValidation>
  </dataValidations>
  <printOptions horizontalCentered="1"/>
  <pageMargins left="1" right="1" top="0.5" bottom="0.5" header="0.5" footer="0.5"/>
  <pageSetup paperSize="17" scale="73" fitToHeight="1000" orientation="landscape" r:id="rId1"/>
  <headerFooter alignWithMargins="0"/>
  <rowBreaks count="1" manualBreakCount="1">
    <brk id="98" max="22" man="1"/>
  </rowBreaks>
  <colBreaks count="1" manualBreakCount="1">
    <brk id="25" max="81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C57"/>
  <sheetViews>
    <sheetView tabSelected="1" topLeftCell="A7" workbookViewId="0">
      <selection activeCell="B22" sqref="B22"/>
    </sheetView>
  </sheetViews>
  <sheetFormatPr defaultRowHeight="12.75"/>
  <cols>
    <col min="1" max="1" width="93" customWidth="1"/>
    <col min="2" max="2" width="45.140625" style="218" customWidth="1"/>
    <col min="3" max="3" width="3.7109375" customWidth="1"/>
  </cols>
  <sheetData>
    <row r="2" spans="1:3">
      <c r="A2" s="215" t="s">
        <v>167</v>
      </c>
      <c r="B2" s="217" t="s">
        <v>174</v>
      </c>
      <c r="C2" s="216">
        <v>4</v>
      </c>
    </row>
    <row r="3" spans="1:3">
      <c r="A3" s="215" t="s">
        <v>168</v>
      </c>
      <c r="B3" s="217" t="s">
        <v>174</v>
      </c>
      <c r="C3" s="216">
        <v>2</v>
      </c>
    </row>
    <row r="4" spans="1:3">
      <c r="A4" s="215" t="s">
        <v>169</v>
      </c>
      <c r="B4" s="217" t="s">
        <v>174</v>
      </c>
      <c r="C4" s="216">
        <v>2</v>
      </c>
    </row>
    <row r="5" spans="1:3">
      <c r="A5" s="215" t="s">
        <v>170</v>
      </c>
      <c r="B5" s="217" t="s">
        <v>174</v>
      </c>
      <c r="C5" s="216">
        <v>2</v>
      </c>
    </row>
    <row r="6" spans="1:3">
      <c r="A6" s="215" t="s">
        <v>171</v>
      </c>
      <c r="B6" s="217" t="s">
        <v>174</v>
      </c>
      <c r="C6" s="216">
        <v>1</v>
      </c>
    </row>
    <row r="7" spans="1:3">
      <c r="A7" s="215" t="s">
        <v>172</v>
      </c>
      <c r="B7" s="217" t="s">
        <v>174</v>
      </c>
      <c r="C7" s="216">
        <v>1</v>
      </c>
    </row>
    <row r="8" spans="1:3">
      <c r="A8" s="215" t="s">
        <v>173</v>
      </c>
      <c r="B8" s="217" t="s">
        <v>174</v>
      </c>
      <c r="C8" s="216">
        <v>3</v>
      </c>
    </row>
    <row r="10" spans="1:3" ht="63.75">
      <c r="A10" t="s">
        <v>201</v>
      </c>
      <c r="B10" s="218" t="s">
        <v>202</v>
      </c>
    </row>
    <row r="12" spans="1:3" ht="25.5">
      <c r="A12" t="s">
        <v>205</v>
      </c>
      <c r="B12" s="218" t="s">
        <v>206</v>
      </c>
    </row>
    <row r="14" spans="1:3" ht="25.5">
      <c r="A14" t="s">
        <v>203</v>
      </c>
      <c r="B14" s="218" t="s">
        <v>204</v>
      </c>
    </row>
    <row r="16" spans="1:3" ht="25.5">
      <c r="A16" t="s">
        <v>207</v>
      </c>
      <c r="B16" s="218" t="s">
        <v>208</v>
      </c>
    </row>
    <row r="18" spans="1:2" ht="25.5">
      <c r="A18" t="s">
        <v>209</v>
      </c>
      <c r="B18" s="218" t="s">
        <v>210</v>
      </c>
    </row>
    <row r="20" spans="1:2">
      <c r="A20" t="s">
        <v>211</v>
      </c>
      <c r="B20" s="218" t="s">
        <v>212</v>
      </c>
    </row>
    <row r="22" spans="1:2" ht="38.25">
      <c r="A22" t="s">
        <v>213</v>
      </c>
      <c r="B22" s="219" t="s">
        <v>214</v>
      </c>
    </row>
    <row r="25" spans="1:2">
      <c r="A25" t="s">
        <v>195</v>
      </c>
    </row>
    <row r="26" spans="1:2">
      <c r="A26" t="s">
        <v>196</v>
      </c>
    </row>
    <row r="27" spans="1:2">
      <c r="A27" t="s">
        <v>197</v>
      </c>
    </row>
    <row r="28" spans="1:2">
      <c r="A28" t="s">
        <v>198</v>
      </c>
    </row>
    <row r="29" spans="1:2">
      <c r="A29" t="s">
        <v>199</v>
      </c>
    </row>
    <row r="30" spans="1:2">
      <c r="A30" t="s">
        <v>200</v>
      </c>
    </row>
    <row r="31" spans="1:2">
      <c r="A31" t="s">
        <v>175</v>
      </c>
    </row>
    <row r="32" spans="1:2">
      <c r="A32" t="s">
        <v>176</v>
      </c>
    </row>
    <row r="33" spans="1:1">
      <c r="A33" t="s">
        <v>177</v>
      </c>
    </row>
    <row r="34" spans="1:1">
      <c r="A34" t="s">
        <v>178</v>
      </c>
    </row>
    <row r="35" spans="1:1">
      <c r="A35" t="s">
        <v>179</v>
      </c>
    </row>
    <row r="36" spans="1:1">
      <c r="A36" t="s">
        <v>180</v>
      </c>
    </row>
    <row r="37" spans="1:1">
      <c r="A37" t="s">
        <v>181</v>
      </c>
    </row>
    <row r="38" spans="1:1">
      <c r="A38" t="s">
        <v>182</v>
      </c>
    </row>
    <row r="39" spans="1:1">
      <c r="A39" t="s">
        <v>183</v>
      </c>
    </row>
    <row r="40" spans="1:1">
      <c r="A40" t="s">
        <v>181</v>
      </c>
    </row>
    <row r="41" spans="1:1">
      <c r="A41" t="s">
        <v>184</v>
      </c>
    </row>
    <row r="42" spans="1:1">
      <c r="A42" t="s">
        <v>185</v>
      </c>
    </row>
    <row r="43" spans="1:1">
      <c r="A43" t="s">
        <v>186</v>
      </c>
    </row>
    <row r="44" spans="1:1">
      <c r="A44" t="s">
        <v>187</v>
      </c>
    </row>
    <row r="45" spans="1:1">
      <c r="A45" t="s">
        <v>188</v>
      </c>
    </row>
    <row r="46" spans="1:1">
      <c r="A46" t="s">
        <v>189</v>
      </c>
    </row>
    <row r="47" spans="1:1">
      <c r="A47" t="s">
        <v>190</v>
      </c>
    </row>
    <row r="48" spans="1:1">
      <c r="A48" t="s">
        <v>191</v>
      </c>
    </row>
    <row r="49" spans="1:1">
      <c r="A49" t="s">
        <v>192</v>
      </c>
    </row>
    <row r="50" spans="1:1">
      <c r="A50" t="s">
        <v>193</v>
      </c>
    </row>
    <row r="51" spans="1:1">
      <c r="A51" t="s">
        <v>194</v>
      </c>
    </row>
    <row r="52" spans="1:1">
      <c r="A52" t="s">
        <v>195</v>
      </c>
    </row>
    <row r="53" spans="1:1">
      <c r="A53" t="s">
        <v>196</v>
      </c>
    </row>
    <row r="54" spans="1:1">
      <c r="A54" t="s">
        <v>197</v>
      </c>
    </row>
    <row r="55" spans="1:1">
      <c r="A55" t="s">
        <v>198</v>
      </c>
    </row>
    <row r="56" spans="1:1">
      <c r="A56" t="s">
        <v>199</v>
      </c>
    </row>
    <row r="57" spans="1:1">
      <c r="A57" t="s">
        <v>200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LinksUpToDate>false</LinksUpToDate>
  <SharedDoc>false</SharedDoc>
  <HyperlinksChanged>false</HyperlinksChanged>
</Properties>
</file>